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Методика расчетов" sheetId="1" r:id="rId1"/>
    <sheet name="Расчет(1тр)" sheetId="2" r:id="rId2"/>
    <sheet name="Расчет(2тр)" sheetId="3" r:id="rId3"/>
    <sheet name="Расчет(4тр)" sheetId="4" r:id="rId4"/>
  </sheets>
  <definedNames>
    <definedName name="BegParamKM">'Расчет(4тр)'!$X$25</definedName>
    <definedName name="Dy0KM">'Расчет(4тр)'!$Y$25:$Y$74</definedName>
    <definedName name="DyPFlow">'Расчет(4тр)'!$S$25:$V$37</definedName>
    <definedName name="InterpolCoeff">'Расчет(4тр)'!$M$41:$M$47</definedName>
    <definedName name="ParamKM">'Расчет(4тр)'!$X$25:$AB$74</definedName>
    <definedName name="ParamKM2">'Расчет(4тр)'!$Y$25:$AC$74</definedName>
    <definedName name="_xlnm.Print_Area" localSheetId="3">'Расчет(4тр)'!$A$1:$M$93</definedName>
    <definedName name="TypePFlow">'Расчет(4тр)'!$S$25:$S$37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H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H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G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I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sharedStrings.xml><?xml version="1.0" encoding="utf-8"?>
<sst xmlns="http://schemas.openxmlformats.org/spreadsheetml/2006/main" count="571" uniqueCount="241">
  <si>
    <t>2 СНиП 2.04.07-86 ТЕПЛОВЫЕ СЕТИ</t>
  </si>
  <si>
    <t>Тип расходомера</t>
  </si>
  <si>
    <t>Обозн.</t>
  </si>
  <si>
    <t>Ед. изм.</t>
  </si>
  <si>
    <t>Тип</t>
  </si>
  <si>
    <t>Ду, мм</t>
  </si>
  <si>
    <t>100-100</t>
  </si>
  <si>
    <t>G</t>
  </si>
  <si>
    <t>т/ч</t>
  </si>
  <si>
    <t>100-125</t>
  </si>
  <si>
    <t>t</t>
  </si>
  <si>
    <t>100-150</t>
  </si>
  <si>
    <t>Рабочее давление</t>
  </si>
  <si>
    <t>P</t>
  </si>
  <si>
    <t>кгс/см2</t>
  </si>
  <si>
    <t>100-200</t>
  </si>
  <si>
    <t>100-250</t>
  </si>
  <si>
    <t>Тип конфузора</t>
  </si>
  <si>
    <t>32-50</t>
  </si>
  <si>
    <t>Тип диффузора</t>
  </si>
  <si>
    <t>Экв.шероховатость труб</t>
  </si>
  <si>
    <t>D</t>
  </si>
  <si>
    <t>мм</t>
  </si>
  <si>
    <t>Диаметр сужения</t>
  </si>
  <si>
    <t>20-20</t>
  </si>
  <si>
    <t>Ду труб-да перед конфузором</t>
  </si>
  <si>
    <t>20-32</t>
  </si>
  <si>
    <t>Ду труб-да после диффузора</t>
  </si>
  <si>
    <t>20-40</t>
  </si>
  <si>
    <t>Длина сужения</t>
  </si>
  <si>
    <t>20-50</t>
  </si>
  <si>
    <t>32-32</t>
  </si>
  <si>
    <t>Угол раскрытия конфузора</t>
  </si>
  <si>
    <t>град</t>
  </si>
  <si>
    <t>32-40</t>
  </si>
  <si>
    <t>Угол раскрытия диффузора</t>
  </si>
  <si>
    <t>32-65</t>
  </si>
  <si>
    <t>r</t>
  </si>
  <si>
    <t>кг/м3</t>
  </si>
  <si>
    <t>32-80</t>
  </si>
  <si>
    <t>Объемный расход воды</t>
  </si>
  <si>
    <t>Q</t>
  </si>
  <si>
    <t>м3/ч</t>
  </si>
  <si>
    <t>50-100</t>
  </si>
  <si>
    <t>Скорость в сужении D0</t>
  </si>
  <si>
    <t>V0</t>
  </si>
  <si>
    <t>м/с</t>
  </si>
  <si>
    <t>50-125</t>
  </si>
  <si>
    <t>Скорость перед конфузором D1</t>
  </si>
  <si>
    <t>V1</t>
  </si>
  <si>
    <t>50-50</t>
  </si>
  <si>
    <t>Скорость после диффузора D2</t>
  </si>
  <si>
    <t>V2</t>
  </si>
  <si>
    <t>50-65</t>
  </si>
  <si>
    <t>Кинематическая вязкость воды</t>
  </si>
  <si>
    <t>n</t>
  </si>
  <si>
    <t>50-80</t>
  </si>
  <si>
    <t>Число Рейнольдса в сужении</t>
  </si>
  <si>
    <t>Re</t>
  </si>
  <si>
    <t>80-100</t>
  </si>
  <si>
    <t>80-125</t>
  </si>
  <si>
    <t>Конфузор</t>
  </si>
  <si>
    <t>80-150</t>
  </si>
  <si>
    <t>Коэф. сопротивл. трения</t>
  </si>
  <si>
    <t>80-200</t>
  </si>
  <si>
    <t>Потеря напора на конфузоре</t>
  </si>
  <si>
    <t>м в. ст.</t>
  </si>
  <si>
    <t>80-80</t>
  </si>
  <si>
    <t>l</t>
  </si>
  <si>
    <t>Диффузор</t>
  </si>
  <si>
    <t>Потери напора на диффузоре</t>
  </si>
  <si>
    <t>Суммарная потеря напора</t>
  </si>
  <si>
    <t>м.в.ст.</t>
  </si>
  <si>
    <t>D0</t>
  </si>
  <si>
    <t>D1</t>
  </si>
  <si>
    <t>D2</t>
  </si>
  <si>
    <t>Исходные данные</t>
  </si>
  <si>
    <t>Литература:</t>
  </si>
  <si>
    <t>Расчетные данные</t>
  </si>
  <si>
    <t>1. Идельчик И. Е. Справочник по гидравлическим сопротивлениям/Под ред. М.О. Штейнберга.
 - 3-е изд., перераб. и доп. - М.: Машиностроение, 1992.- 672 с: ил.</t>
  </si>
  <si>
    <t>L0</t>
  </si>
  <si>
    <r>
      <t>°</t>
    </r>
    <r>
      <rPr>
        <sz val="12"/>
        <rFont val="Arial"/>
        <family val="2"/>
      </rPr>
      <t>С</t>
    </r>
  </si>
  <si>
    <r>
      <t>a</t>
    </r>
    <r>
      <rPr>
        <sz val="12"/>
        <color indexed="8"/>
        <rFont val="Arial"/>
        <family val="2"/>
      </rPr>
      <t>1</t>
    </r>
  </si>
  <si>
    <r>
      <t>a</t>
    </r>
    <r>
      <rPr>
        <sz val="12"/>
        <color indexed="8"/>
        <rFont val="Arial"/>
        <family val="2"/>
      </rPr>
      <t>2</t>
    </r>
  </si>
  <si>
    <r>
      <t>x</t>
    </r>
    <r>
      <rPr>
        <vertAlign val="subscript"/>
        <sz val="12"/>
        <rFont val="Arial Cyr"/>
        <family val="2"/>
      </rPr>
      <t>расш</t>
    </r>
  </si>
  <si>
    <r>
      <t>x</t>
    </r>
    <r>
      <rPr>
        <vertAlign val="subscript"/>
        <sz val="12"/>
        <rFont val="Arial Cyr"/>
        <family val="2"/>
      </rPr>
      <t>тр</t>
    </r>
  </si>
  <si>
    <t>Коэф.сопр. расширения</t>
  </si>
  <si>
    <r>
      <t>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/с</t>
    </r>
  </si>
  <si>
    <t>Массовый расход</t>
  </si>
  <si>
    <t>Температура</t>
  </si>
  <si>
    <t>Коэф. гидравл. трения</t>
  </si>
  <si>
    <t>Плотность воды</t>
  </si>
  <si>
    <t>Коэф.сопротивления трения</t>
  </si>
  <si>
    <t>Трубопровод 1</t>
  </si>
  <si>
    <t>Трубопровод 2</t>
  </si>
  <si>
    <t>Трубопровод 3</t>
  </si>
  <si>
    <t>Трубопровод 4</t>
  </si>
  <si>
    <t>Lпр.уч</t>
  </si>
  <si>
    <t>a</t>
  </si>
  <si>
    <t>ДУ до и после</t>
  </si>
  <si>
    <t>i</t>
  </si>
  <si>
    <t>Ii</t>
  </si>
  <si>
    <t>Ji</t>
  </si>
  <si>
    <t>ni</t>
  </si>
  <si>
    <r>
      <t>g</t>
    </r>
    <r>
      <rPr>
        <vertAlign val="subscript"/>
        <sz val="12"/>
        <rFont val="Symbol"/>
        <family val="1"/>
      </rPr>
      <t>p</t>
    </r>
  </si>
  <si>
    <t>R</t>
  </si>
  <si>
    <t>t=</t>
  </si>
  <si>
    <t>p=</t>
  </si>
  <si>
    <t>Р, МПа</t>
  </si>
  <si>
    <t>град К</t>
  </si>
  <si>
    <t>m3/kg</t>
  </si>
  <si>
    <t>Тр-д 1</t>
  </si>
  <si>
    <t>Тр-д 2</t>
  </si>
  <si>
    <t>Тр-д 3</t>
  </si>
  <si>
    <t>Тр-д 4</t>
  </si>
  <si>
    <t>Расчетные параметры потока</t>
  </si>
  <si>
    <t>по адресу:</t>
  </si>
  <si>
    <t>5</t>
  </si>
  <si>
    <t>Длина, мм</t>
  </si>
  <si>
    <t>Справочные данные</t>
  </si>
  <si>
    <t xml:space="preserve">   Расчет гидравлических потерь напора на узлах установки расходомеров Питерфлоу РС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</si>
  <si>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rFont val="Arial Cyr"/>
        <family val="2"/>
      </rPr>
      <t>k</t>
    </r>
  </si>
  <si>
    <r>
      <rPr>
        <sz val="12"/>
        <rFont val="Symbol"/>
        <family val="1"/>
      </rPr>
      <t>D</t>
    </r>
    <r>
      <rPr>
        <sz val="12"/>
        <rFont val="Arial Cyr"/>
        <family val="0"/>
      </rPr>
      <t>h</t>
    </r>
    <r>
      <rPr>
        <vertAlign val="subscript"/>
        <sz val="12"/>
        <rFont val="Arial Cyr"/>
        <family val="0"/>
      </rPr>
      <t>д</t>
    </r>
  </si>
  <si>
    <t>РС20-6</t>
  </si>
  <si>
    <t>РС20-12</t>
  </si>
  <si>
    <t>РС32-15</t>
  </si>
  <si>
    <t>РС32-30</t>
  </si>
  <si>
    <t>РС50-36</t>
  </si>
  <si>
    <t>РС50-72</t>
  </si>
  <si>
    <t>РС80-90</t>
  </si>
  <si>
    <t>РС100-140</t>
  </si>
  <si>
    <t>РС20-6, РС20-12</t>
  </si>
  <si>
    <t>РС32-15, PC32-30</t>
  </si>
  <si>
    <t>PC50-36, PC50-72</t>
  </si>
  <si>
    <t>PC80-90</t>
  </si>
  <si>
    <t>Канал</t>
  </si>
  <si>
    <t>L</t>
  </si>
  <si>
    <t>S</t>
  </si>
  <si>
    <t>Тип КМ</t>
  </si>
  <si>
    <t>ДУ ПФ РС</t>
  </si>
  <si>
    <t>Прямой участок</t>
  </si>
  <si>
    <t>Интерполяционные коэффициенты</t>
  </si>
  <si>
    <t>153</t>
  </si>
  <si>
    <t>250</t>
  </si>
  <si>
    <t>InterpolCoeff</t>
  </si>
  <si>
    <t>Потери на прямом участке</t>
  </si>
  <si>
    <t>Расчет величины потерь</t>
  </si>
  <si>
    <t>Значение</t>
  </si>
  <si>
    <t>Эквивалентьная шероховатость труб</t>
  </si>
  <si>
    <t>Тип Питерфлоу</t>
  </si>
  <si>
    <t>Особенности расчета:</t>
  </si>
  <si>
    <t xml:space="preserve">– При расчете используются параметры стандартных концентрических переходов по ГОСТ 17378-2001, имеющих криволинейные образующие двоякой кривизны. </t>
  </si>
  <si>
    <t>– Расчет выполняется для области квадратичного закона при Re &gt; Re кр</t>
  </si>
  <si>
    <t xml:space="preserve"> </t>
  </si>
  <si>
    <t>(1)</t>
  </si>
  <si>
    <t>Потери на прямолинейном участке</t>
  </si>
  <si>
    <t>Потери напора на прямолинейном участке рассчитываются по формуле Дарси-Вейсбаха:</t>
  </si>
  <si>
    <t>где:</t>
  </si>
  <si>
    <r>
      <t>l</t>
    </r>
    <r>
      <rPr>
        <sz val="12"/>
        <rFont val="Verdana"/>
        <family val="2"/>
      </rPr>
      <t xml:space="preserve"> – коэффициент сопротивления трения;</t>
    </r>
  </si>
  <si>
    <t>D0 – диаметр прямолинейного участка и Питерфлоу РС;</t>
  </si>
  <si>
    <t>V0 – скорость потока на прямолинейном участке;</t>
  </si>
  <si>
    <t>g – ускорение свободного падения.</t>
  </si>
  <si>
    <r>
      <t xml:space="preserve">Коэффициент сопротивления трения </t>
    </r>
    <r>
      <rPr>
        <sz val="12"/>
        <rFont val="Symbol"/>
        <family val="1"/>
      </rPr>
      <t>l</t>
    </r>
    <r>
      <rPr>
        <sz val="12"/>
        <rFont val="Verdana"/>
        <family val="2"/>
      </rPr>
      <t xml:space="preserve"> для области квадратичного закона согласно СНиП 2.04.07-86 определяется по формуле:</t>
    </r>
  </si>
  <si>
    <t>Потери на сужении (конфузоре)</t>
  </si>
  <si>
    <t>Потери напора на конфузоре рассчитываются по формуле:</t>
  </si>
  <si>
    <t>(2)</t>
  </si>
  <si>
    <t>(3)</t>
  </si>
  <si>
    <t xml:space="preserve">Суммарные потери напора (∆hсум), возникающие в системе при использовании Питерфлоу РС с условным диаметром (D0) </t>
  </si>
  <si>
    <t>меньшим чем диаметр трубопроводов (D1, D2), складываются из потерь на переходах (∆hк – потери на сужении (конфузоре), ∆hд – потери на расширении (диффузоре))</t>
  </si>
  <si>
    <t>и потерь на прямых участках (∆hпр).</t>
  </si>
  <si>
    <r>
      <t xml:space="preserve">где: </t>
    </r>
    <r>
      <rPr>
        <sz val="12"/>
        <rFont val="Symbol"/>
        <family val="1"/>
      </rPr>
      <t>z</t>
    </r>
    <r>
      <rPr>
        <sz val="12"/>
        <rFont val="Verdana"/>
        <family val="2"/>
      </rPr>
      <t>к – коэффициент сопротивления конфузора.</t>
    </r>
  </si>
  <si>
    <t xml:space="preserve"> – угол раскрытия конфузора.</t>
  </si>
  <si>
    <t>Потери на расширении (диффузоре)</t>
  </si>
  <si>
    <t>Потери напора на диффузоре рассчитываются по формуле:</t>
  </si>
  <si>
    <t xml:space="preserve"> – коэффициент сопротивления диффузора.</t>
  </si>
  <si>
    <t>Коэффициент сопротивления диффузора:</t>
  </si>
  <si>
    <t xml:space="preserve"> – коэффициент сопротивления трения;</t>
  </si>
  <si>
    <t xml:space="preserve"> – коэффициент сопротивления расширения.</t>
  </si>
  <si>
    <t>Коэффициент сопротивления трения определяется по формуле:</t>
  </si>
  <si>
    <t>– угол раскрытия диффузора.</t>
  </si>
  <si>
    <t>Коэффициент сопротивления расширения выражается через коэффициент полноты удара:</t>
  </si>
  <si>
    <t xml:space="preserve"> – коэффициент полноты удара;</t>
  </si>
  <si>
    <t xml:space="preserve"> – коэффициент неравномерности скоростей на входе в диффузор.</t>
  </si>
  <si>
    <t>(4)</t>
  </si>
  <si>
    <t>(5)</t>
  </si>
  <si>
    <t xml:space="preserve"> – степень расширения конфузора (отношение площадей);</t>
  </si>
  <si>
    <t>(6)</t>
  </si>
  <si>
    <t>Для конфузора с криволинейными образующими двоякой кривизны (стандартные переходы) коэффициент сопротивления зависит</t>
  </si>
  <si>
    <t xml:space="preserve"> только от коэффициента трения ([1], Диаграмма 5-23) и рассчитывается по формуле:</t>
  </si>
  <si>
    <t>(7)</t>
  </si>
  <si>
    <t>(8)</t>
  </si>
  <si>
    <t xml:space="preserve">   – степень расширения диффузора (отношение площадей);</t>
  </si>
  <si>
    <t>(9)</t>
  </si>
  <si>
    <t>где:    ∆ – эквивалентная шероховатость труб.</t>
  </si>
  <si>
    <t>Длина L, мм</t>
  </si>
  <si>
    <t>L0=L1+L2+L – длина прямого участка (сумма длин участков до и после Питерфлоу РС и длины Питерфлоу РС);</t>
  </si>
  <si>
    <t xml:space="preserve">Примечание. </t>
  </si>
  <si>
    <t>При использовании расходомеров с L-каналом дополнительные потери на внутреннем сужении рассчитываются</t>
  </si>
  <si>
    <t>с применением экстраполяционных коэффициентов по экспериментальным данным потерь.</t>
  </si>
  <si>
    <t>РС100-280</t>
  </si>
  <si>
    <t>РС150-630</t>
  </si>
  <si>
    <t>PC100-140, PC100-280</t>
  </si>
  <si>
    <t>PC150-630</t>
  </si>
  <si>
    <t>150-150</t>
  </si>
  <si>
    <t>150-200</t>
  </si>
  <si>
    <t>150-250</t>
  </si>
  <si>
    <t>150-300</t>
  </si>
  <si>
    <t>150-350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</si>
  <si>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пр</t>
    </r>
  </si>
  <si>
    <t>100-300</t>
  </si>
  <si>
    <t>150-400</t>
  </si>
  <si>
    <t>50-150</t>
  </si>
  <si>
    <t>6</t>
  </si>
  <si>
    <t>50-200</t>
  </si>
  <si>
    <t>7</t>
  </si>
  <si>
    <t>=СМЕЩ(BegParamKM;ПОИСКПОЗ(F36;Dy0KM;0)-1;0;ВПР(F36;ParamKM2;5;ЛОЖЬ))</t>
  </si>
  <si>
    <t>=СМЕЩ(X25;ПОИСКПОЗ(F36;Dy0KM;0)-1;0;ВПР(F36;ParamKM2;5;ЛОЖЬ))</t>
  </si>
  <si>
    <t>125-125</t>
  </si>
  <si>
    <t>125-150</t>
  </si>
  <si>
    <t>125-200</t>
  </si>
  <si>
    <t>125-250</t>
  </si>
  <si>
    <t>125-300</t>
  </si>
  <si>
    <t>20-65</t>
  </si>
  <si>
    <t>E1</t>
  </si>
  <si>
    <t>РС40-45</t>
  </si>
  <si>
    <t>РС65-60</t>
  </si>
  <si>
    <t>PC65-60</t>
  </si>
  <si>
    <t>200</t>
  </si>
  <si>
    <t>40-100</t>
  </si>
  <si>
    <t>40-40</t>
  </si>
  <si>
    <t>40-50</t>
  </si>
  <si>
    <t>40-65</t>
  </si>
  <si>
    <t>40-80</t>
  </si>
  <si>
    <t>65-100</t>
  </si>
  <si>
    <t>65-125</t>
  </si>
  <si>
    <t>65-150</t>
  </si>
  <si>
    <t>65-65</t>
  </si>
  <si>
    <t>65-80</t>
  </si>
  <si>
    <t>PC40-22; PC40-45</t>
  </si>
  <si>
    <t>РС40-22</t>
  </si>
  <si>
    <t>20-25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</si>
</sst>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0"/>
    <numFmt numFmtId="166" formatCode="0.000"/>
    <numFmt numFmtId="167" formatCode="0.00000"/>
    <numFmt numFmtId="168" formatCode="0.00E+00_)"/>
    <numFmt numFmtId="169" formatCode="0.0000000"/>
    <numFmt numFmtId="170" formatCode="0.000000"/>
    <numFmt numFmtId="171" formatCode="0.0"/>
    <numFmt numFmtId="172" formatCode="0.000E+00"/>
    <numFmt numFmtId="173" formatCode="0.0000000000000000E+00"/>
    <numFmt numFmtId="174" formatCode="0.0000000000E+00"/>
  </numFmts>
  <fonts count="89">
    <font>
      <sz val="10"/>
      <name val="Arial Cyr"/>
      <family val="0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sz val="8"/>
      <name val="Arial Cyr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vertAlign val="subscript"/>
      <sz val="12"/>
      <name val="Arial Cyr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vertAlign val="superscript"/>
      <sz val="12"/>
      <color indexed="8"/>
      <name val="Arial"/>
      <family val="2"/>
    </font>
    <font>
      <i/>
      <sz val="16"/>
      <name val="Arial"/>
      <family val="2"/>
    </font>
    <font>
      <sz val="16"/>
      <name val="Arial Cyr"/>
      <family val="0"/>
    </font>
    <font>
      <sz val="10"/>
      <name val="Symbol"/>
      <family val="1"/>
    </font>
    <font>
      <b/>
      <sz val="12"/>
      <color indexed="10"/>
      <name val="Symbol"/>
      <family val="1"/>
    </font>
    <font>
      <vertAlign val="subscript"/>
      <sz val="12"/>
      <name val="Symbol"/>
      <family val="1"/>
    </font>
    <font>
      <b/>
      <sz val="12"/>
      <name val="Arial Cyr"/>
      <family val="0"/>
    </font>
    <font>
      <sz val="10"/>
      <color indexed="10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vertAlign val="subscript"/>
      <sz val="12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Arial Cyr"/>
      <family val="0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CC"/>
      <name val="Arial"/>
      <family val="2"/>
    </font>
    <font>
      <sz val="10"/>
      <color rgb="FF0000CC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67" fontId="6" fillId="0" borderId="0" xfId="0" applyNumberFormat="1" applyFont="1" applyFill="1" applyBorder="1" applyAlignment="1" applyProtection="1">
      <alignment horizontal="center" vertical="top" wrapText="1"/>
      <protection hidden="1"/>
    </xf>
    <xf numFmtId="168" fontId="6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7" fontId="0" fillId="0" borderId="0" xfId="0" applyNumberFormat="1" applyFill="1" applyBorder="1" applyAlignment="1" applyProtection="1">
      <alignment horizontal="center" vertical="top"/>
      <protection hidden="1"/>
    </xf>
    <xf numFmtId="169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9" fillId="0" borderId="0" xfId="0" applyNumberFormat="1" applyFont="1" applyFill="1" applyBorder="1" applyAlignment="1" applyProtection="1">
      <alignment vertical="top" wrapText="1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left"/>
      <protection hidden="1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horizontal="center"/>
      <protection hidden="1"/>
    </xf>
    <xf numFmtId="1" fontId="22" fillId="34" borderId="14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67" fontId="4" fillId="0" borderId="0" xfId="0" applyNumberFormat="1" applyFont="1" applyFill="1" applyBorder="1" applyAlignment="1" applyProtection="1">
      <alignment horizontal="center" vertical="top" wrapText="1"/>
      <protection hidden="1"/>
    </xf>
    <xf numFmtId="168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wrapText="1"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3" fillId="0" borderId="17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0" fillId="36" borderId="19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49" fontId="0" fillId="36" borderId="22" xfId="0" applyNumberForma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0" fillId="37" borderId="19" xfId="0" applyNumberForma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49" fontId="0" fillId="37" borderId="21" xfId="0" applyNumberFormat="1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49" fontId="0" fillId="38" borderId="21" xfId="0" applyNumberForma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49" fontId="0" fillId="39" borderId="19" xfId="0" applyNumberForma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49" fontId="0" fillId="39" borderId="21" xfId="0" applyNumberForma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49" fontId="0" fillId="39" borderId="22" xfId="0" applyNumberForma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8" borderId="14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4" xfId="0" applyNumberFormat="1" applyBorder="1" applyAlignment="1">
      <alignment horizontal="center"/>
    </xf>
    <xf numFmtId="0" fontId="30" fillId="0" borderId="14" xfId="0" applyFont="1" applyBorder="1" applyAlignment="1" applyProtection="1">
      <alignment horizontal="center" vertical="top" wrapText="1"/>
      <protection hidden="1"/>
    </xf>
    <xf numFmtId="2" fontId="29" fillId="40" borderId="14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6" fillId="0" borderId="14" xfId="0" applyFont="1" applyBorder="1" applyAlignment="1">
      <alignment horizontal="right"/>
    </xf>
    <xf numFmtId="0" fontId="1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24" xfId="0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69" fontId="6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left" vertical="top"/>
      <protection hidden="1"/>
    </xf>
    <xf numFmtId="170" fontId="9" fillId="0" borderId="0" xfId="0" applyNumberFormat="1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49" fontId="0" fillId="35" borderId="0" xfId="0" applyNumberFormat="1" applyFont="1" applyFill="1" applyBorder="1" applyAlignment="1" applyProtection="1">
      <alignment horizontal="center" vertical="center"/>
      <protection hidden="1"/>
    </xf>
    <xf numFmtId="49" fontId="0" fillId="36" borderId="0" xfId="0" applyNumberFormat="1" applyFont="1" applyFill="1" applyBorder="1" applyAlignment="1" applyProtection="1">
      <alignment horizontal="center" vertical="center"/>
      <protection hidden="1"/>
    </xf>
    <xf numFmtId="49" fontId="0" fillId="37" borderId="0" xfId="0" applyNumberFormat="1" applyFont="1" applyFill="1" applyBorder="1" applyAlignment="1" applyProtection="1">
      <alignment horizontal="center" vertical="center"/>
      <protection hidden="1"/>
    </xf>
    <xf numFmtId="49" fontId="0" fillId="38" borderId="0" xfId="0" applyNumberFormat="1" applyFont="1" applyFill="1" applyBorder="1" applyAlignment="1" applyProtection="1">
      <alignment horizontal="center" vertical="center"/>
      <protection hidden="1"/>
    </xf>
    <xf numFmtId="49" fontId="0" fillId="39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hidden="1"/>
    </xf>
    <xf numFmtId="164" fontId="9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 quotePrefix="1">
      <alignment/>
      <protection hidden="1"/>
    </xf>
    <xf numFmtId="0" fontId="4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29" xfId="0" applyFont="1" applyFill="1" applyBorder="1" applyAlignment="1" applyProtection="1">
      <alignment horizontal="center" vertical="top" wrapText="1"/>
      <protection hidden="1"/>
    </xf>
    <xf numFmtId="0" fontId="4" fillId="0" borderId="30" xfId="0" applyFont="1" applyFill="1" applyBorder="1" applyAlignment="1" applyProtection="1">
      <alignment vertical="top" wrapText="1"/>
      <protection hidden="1"/>
    </xf>
    <xf numFmtId="0" fontId="4" fillId="0" borderId="31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vertical="top" wrapText="1"/>
      <protection hidden="1"/>
    </xf>
    <xf numFmtId="0" fontId="17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4" fillId="0" borderId="29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31" xfId="0" applyFont="1" applyFill="1" applyBorder="1" applyAlignment="1" applyProtection="1">
      <alignment horizontal="center" vertical="top" wrapText="1"/>
      <protection hidden="1"/>
    </xf>
    <xf numFmtId="0" fontId="17" fillId="0" borderId="32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vertical="top" wrapText="1"/>
      <protection hidden="1"/>
    </xf>
    <xf numFmtId="0" fontId="17" fillId="0" borderId="26" xfId="0" applyFont="1" applyFill="1" applyBorder="1" applyAlignment="1" applyProtection="1">
      <alignment horizontal="center" vertical="top" wrapText="1"/>
      <protection hidden="1"/>
    </xf>
    <xf numFmtId="0" fontId="17" fillId="0" borderId="27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Fill="1" applyBorder="1" applyAlignment="1" applyProtection="1">
      <alignment vertical="top" wrapText="1"/>
      <protection hidden="1"/>
    </xf>
    <xf numFmtId="0" fontId="17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29" xfId="0" applyFont="1" applyFill="1" applyBorder="1" applyAlignment="1" applyProtection="1">
      <alignment horizontal="center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33" xfId="0" applyFont="1" applyFill="1" applyBorder="1" applyAlignment="1" applyProtection="1">
      <alignment vertical="top" wrapText="1"/>
      <protection hidden="1"/>
    </xf>
    <xf numFmtId="0" fontId="18" fillId="0" borderId="15" xfId="0" applyFont="1" applyFill="1" applyBorder="1" applyAlignment="1" applyProtection="1">
      <alignment horizontal="center" vertical="top" wrapText="1"/>
      <protection hidden="1"/>
    </xf>
    <xf numFmtId="0" fontId="17" fillId="0" borderId="16" xfId="0" applyFont="1" applyFill="1" applyBorder="1" applyAlignment="1" applyProtection="1">
      <alignment horizontal="center" vertical="top" wrapText="1"/>
      <protection hidden="1"/>
    </xf>
    <xf numFmtId="0" fontId="14" fillId="0" borderId="34" xfId="0" applyFont="1" applyFill="1" applyBorder="1" applyAlignment="1" applyProtection="1">
      <alignment vertical="top" wrapText="1"/>
      <protection hidden="1"/>
    </xf>
    <xf numFmtId="0" fontId="15" fillId="0" borderId="35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28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 wrapText="1"/>
      <protection hidden="1"/>
    </xf>
    <xf numFmtId="0" fontId="13" fillId="0" borderId="36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/>
      <protection hidden="1"/>
    </xf>
    <xf numFmtId="0" fontId="22" fillId="0" borderId="29" xfId="0" applyFont="1" applyFill="1" applyBorder="1" applyAlignment="1" applyProtection="1">
      <alignment horizontal="center" vertical="top"/>
      <protection hidden="1"/>
    </xf>
    <xf numFmtId="0" fontId="14" fillId="0" borderId="14" xfId="0" applyFont="1" applyFill="1" applyBorder="1" applyAlignment="1" applyProtection="1">
      <alignment vertical="top" wrapText="1"/>
      <protection hidden="1"/>
    </xf>
    <xf numFmtId="11" fontId="4" fillId="0" borderId="14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167" fontId="6" fillId="0" borderId="24" xfId="0" applyNumberFormat="1" applyFont="1" applyFill="1" applyBorder="1" applyAlignment="1" applyProtection="1">
      <alignment horizontal="center" vertical="top" wrapText="1"/>
      <protection hidden="1"/>
    </xf>
    <xf numFmtId="168" fontId="6" fillId="0" borderId="24" xfId="0" applyNumberFormat="1" applyFont="1" applyFill="1" applyBorder="1" applyAlignment="1" applyProtection="1">
      <alignment horizontal="center" vertical="top" wrapText="1"/>
      <protection hidden="1"/>
    </xf>
    <xf numFmtId="0" fontId="9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2" fillId="0" borderId="37" xfId="0" applyFont="1" applyBorder="1" applyAlignment="1" applyProtection="1">
      <alignment/>
      <protection hidden="1"/>
    </xf>
    <xf numFmtId="0" fontId="14" fillId="0" borderId="24" xfId="0" applyFont="1" applyBorder="1" applyAlignment="1" applyProtection="1">
      <alignment horizontal="right" vertical="center"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/>
      <protection hidden="1"/>
    </xf>
    <xf numFmtId="164" fontId="4" fillId="0" borderId="24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25" fillId="0" borderId="37" xfId="0" applyFont="1" applyBorder="1" applyAlignment="1" applyProtection="1">
      <alignment horizontal="left"/>
      <protection locked="0"/>
    </xf>
    <xf numFmtId="0" fontId="24" fillId="0" borderId="24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/>
      <protection hidden="1"/>
    </xf>
    <xf numFmtId="168" fontId="53" fillId="0" borderId="0" xfId="0" applyNumberFormat="1" applyFont="1" applyFill="1" applyBorder="1" applyAlignment="1" applyProtection="1">
      <alignment horizontal="center" vertical="top" wrapText="1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167" fontId="53" fillId="0" borderId="0" xfId="0" applyNumberFormat="1" applyFont="1" applyFill="1" applyBorder="1" applyAlignment="1" applyProtection="1">
      <alignment horizontal="center" vertical="top" wrapText="1"/>
      <protection hidden="1"/>
    </xf>
    <xf numFmtId="0" fontId="54" fillId="0" borderId="0" xfId="0" applyNumberFormat="1" applyFont="1" applyFill="1" applyBorder="1" applyAlignment="1" applyProtection="1">
      <alignment horizontal="center" vertical="top" wrapText="1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NumberFormat="1" applyFont="1" applyAlignment="1" applyProtection="1" quotePrefix="1">
      <alignment horizontal="left" vertical="center"/>
      <protection hidden="1"/>
    </xf>
    <xf numFmtId="0" fontId="6" fillId="0" borderId="14" xfId="0" applyNumberFormat="1" applyFont="1" applyFill="1" applyBorder="1" applyAlignment="1">
      <alignment horizontal="center"/>
    </xf>
    <xf numFmtId="0" fontId="7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vertical="center"/>
    </xf>
    <xf numFmtId="0" fontId="5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1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1" fontId="4" fillId="0" borderId="0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29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left" vertical="center" indent="3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4" fillId="0" borderId="0" xfId="0" applyFont="1" applyAlignment="1" quotePrefix="1">
      <alignment horizontal="center" vertical="center"/>
    </xf>
    <xf numFmtId="0" fontId="85" fillId="0" borderId="0" xfId="0" applyFont="1" applyAlignment="1" quotePrefix="1">
      <alignment horizontal="center" vertical="center"/>
    </xf>
    <xf numFmtId="0" fontId="0" fillId="0" borderId="45" xfId="0" applyFont="1" applyFill="1" applyBorder="1" applyAlignment="1" applyProtection="1">
      <alignment vertical="center"/>
      <protection locked="0"/>
    </xf>
    <xf numFmtId="0" fontId="31" fillId="0" borderId="45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hidden="1"/>
    </xf>
    <xf numFmtId="49" fontId="0" fillId="41" borderId="21" xfId="0" applyNumberFormat="1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vertical="top" wrapText="1"/>
      <protection hidden="1"/>
    </xf>
    <xf numFmtId="0" fontId="12" fillId="0" borderId="47" xfId="0" applyFont="1" applyFill="1" applyBorder="1" applyAlignment="1" applyProtection="1">
      <alignment vertical="top" wrapText="1"/>
      <protection hidden="1"/>
    </xf>
    <xf numFmtId="0" fontId="13" fillId="42" borderId="46" xfId="0" applyFont="1" applyFill="1" applyBorder="1" applyAlignment="1" applyProtection="1">
      <alignment vertical="top"/>
      <protection hidden="1"/>
    </xf>
    <xf numFmtId="0" fontId="13" fillId="42" borderId="47" xfId="0" applyFont="1" applyFill="1" applyBorder="1" applyAlignment="1" applyProtection="1">
      <alignment vertical="top"/>
      <protection hidden="1"/>
    </xf>
    <xf numFmtId="10" fontId="13" fillId="0" borderId="46" xfId="0" applyNumberFormat="1" applyFont="1" applyFill="1" applyBorder="1" applyAlignment="1" applyProtection="1">
      <alignment vertical="top"/>
      <protection hidden="1"/>
    </xf>
    <xf numFmtId="10" fontId="13" fillId="0" borderId="47" xfId="0" applyNumberFormat="1" applyFont="1" applyFill="1" applyBorder="1" applyAlignment="1" applyProtection="1">
      <alignment vertical="top"/>
      <protection hidden="1"/>
    </xf>
    <xf numFmtId="0" fontId="16" fillId="0" borderId="34" xfId="0" applyFont="1" applyFill="1" applyBorder="1" applyAlignment="1" applyProtection="1">
      <alignment vertical="top" wrapText="1"/>
      <protection hidden="1"/>
    </xf>
    <xf numFmtId="0" fontId="13" fillId="0" borderId="48" xfId="0" applyFont="1" applyFill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13" fillId="0" borderId="46" xfId="0" applyFont="1" applyFill="1" applyBorder="1" applyAlignment="1" applyProtection="1">
      <alignment vertical="top" wrapText="1"/>
      <protection hidden="1"/>
    </xf>
    <xf numFmtId="0" fontId="13" fillId="0" borderId="47" xfId="0" applyFont="1" applyFill="1" applyBorder="1" applyAlignment="1" applyProtection="1">
      <alignment vertical="top" wrapText="1"/>
      <protection hidden="1"/>
    </xf>
    <xf numFmtId="0" fontId="15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32" fillId="42" borderId="49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1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49" xfId="0" applyFont="1" applyFill="1" applyBorder="1" applyAlignment="1" applyProtection="1">
      <alignment horizontal="center" vertical="center" wrapText="1"/>
      <protection hidden="1" locked="0"/>
    </xf>
    <xf numFmtId="0" fontId="32" fillId="42" borderId="50" xfId="0" applyFont="1" applyFill="1" applyBorder="1" applyAlignment="1" applyProtection="1">
      <alignment horizontal="center" vertical="center" wrapText="1"/>
      <protection hidden="1" locked="0"/>
    </xf>
    <xf numFmtId="0" fontId="32" fillId="42" borderId="51" xfId="0" applyFont="1" applyFill="1" applyBorder="1" applyAlignment="1" applyProtection="1">
      <alignment horizontal="center" vertical="center" wrapText="1"/>
      <protection hidden="1" locked="0"/>
    </xf>
    <xf numFmtId="0" fontId="32" fillId="42" borderId="52" xfId="0" applyFont="1" applyFill="1" applyBorder="1" applyAlignment="1" applyProtection="1">
      <alignment horizontal="center" vertical="center" wrapText="1"/>
      <protection hidden="1" locked="0"/>
    </xf>
    <xf numFmtId="1" fontId="32" fillId="42" borderId="53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171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57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57" xfId="0" applyFont="1" applyFill="1" applyBorder="1" applyAlignment="1" applyProtection="1">
      <alignment horizontal="center" vertical="center" wrapText="1"/>
      <protection hidden="1"/>
    </xf>
    <xf numFmtId="166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3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2" fillId="42" borderId="58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Fill="1" applyBorder="1" applyAlignment="1" applyProtection="1">
      <alignment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 wrapText="1"/>
      <protection hidden="1"/>
    </xf>
    <xf numFmtId="0" fontId="17" fillId="0" borderId="26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29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7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/>
      <protection hidden="1"/>
    </xf>
    <xf numFmtId="0" fontId="79" fillId="0" borderId="0" xfId="0" applyFont="1" applyAlignment="1" applyProtection="1">
      <alignment/>
      <protection hidden="1"/>
    </xf>
    <xf numFmtId="49" fontId="0" fillId="41" borderId="59" xfId="0" applyNumberFormat="1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49" fontId="0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41" borderId="0" xfId="0" applyFill="1" applyBorder="1" applyAlignment="1">
      <alignment horizontal="center" vertical="center"/>
    </xf>
    <xf numFmtId="49" fontId="6" fillId="41" borderId="21" xfId="0" applyNumberFormat="1" applyFont="1" applyFill="1" applyBorder="1" applyAlignment="1" applyProtection="1">
      <alignment horizontal="center" vertical="center" wrapText="1"/>
      <protection/>
    </xf>
    <xf numFmtId="49" fontId="86" fillId="41" borderId="22" xfId="0" applyNumberFormat="1" applyFont="1" applyFill="1" applyBorder="1" applyAlignment="1" applyProtection="1">
      <alignment horizontal="center" vertical="center" wrapText="1"/>
      <protection/>
    </xf>
    <xf numFmtId="0" fontId="87" fillId="41" borderId="23" xfId="0" applyFont="1" applyFill="1" applyBorder="1" applyAlignment="1">
      <alignment horizontal="center" vertical="center"/>
    </xf>
    <xf numFmtId="49" fontId="87" fillId="38" borderId="59" xfId="0" applyNumberFormat="1" applyFont="1" applyFill="1" applyBorder="1" applyAlignment="1">
      <alignment horizontal="center" vertical="center"/>
    </xf>
    <xf numFmtId="0" fontId="87" fillId="38" borderId="35" xfId="0" applyFont="1" applyFill="1" applyBorder="1" applyAlignment="1">
      <alignment horizontal="center" vertical="center"/>
    </xf>
    <xf numFmtId="49" fontId="0" fillId="38" borderId="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0" fontId="53" fillId="0" borderId="0" xfId="0" applyNumberFormat="1" applyFont="1" applyBorder="1" applyAlignment="1" applyProtection="1" quotePrefix="1">
      <alignment horizontal="left" vertic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 quotePrefix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87" fillId="13" borderId="59" xfId="0" applyNumberFormat="1" applyFont="1" applyFill="1" applyBorder="1" applyAlignment="1">
      <alignment horizontal="center" vertical="center"/>
    </xf>
    <xf numFmtId="0" fontId="87" fillId="13" borderId="35" xfId="0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 applyProtection="1">
      <alignment horizontal="center" vertical="center"/>
      <protection hidden="1"/>
    </xf>
    <xf numFmtId="49" fontId="87" fillId="35" borderId="60" xfId="0" applyNumberFormat="1" applyFont="1" applyFill="1" applyBorder="1" applyAlignment="1">
      <alignment horizontal="center" vertical="center"/>
    </xf>
    <xf numFmtId="0" fontId="87" fillId="35" borderId="15" xfId="0" applyFont="1" applyFill="1" applyBorder="1" applyAlignment="1">
      <alignment horizontal="center" vertical="center"/>
    </xf>
    <xf numFmtId="49" fontId="87" fillId="13" borderId="19" xfId="0" applyNumberFormat="1" applyFont="1" applyFill="1" applyBorder="1" applyAlignment="1">
      <alignment horizontal="center" vertical="center"/>
    </xf>
    <xf numFmtId="0" fontId="87" fillId="13" borderId="20" xfId="0" applyFont="1" applyFill="1" applyBorder="1" applyAlignment="1">
      <alignment horizontal="center" vertical="center"/>
    </xf>
    <xf numFmtId="49" fontId="87" fillId="13" borderId="61" xfId="0" applyNumberFormat="1" applyFont="1" applyFill="1" applyBorder="1" applyAlignment="1">
      <alignment horizontal="center" vertical="center"/>
    </xf>
    <xf numFmtId="0" fontId="87" fillId="13" borderId="62" xfId="0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 applyProtection="1">
      <alignment horizontal="center" vertical="center"/>
      <protection hidden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49" fontId="0" fillId="36" borderId="60" xfId="0" applyNumberForma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49" fontId="0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43" borderId="14" xfId="0" applyFill="1" applyBorder="1" applyAlignment="1" applyProtection="1">
      <alignment horizontal="center" vertical="center"/>
      <protection hidden="1"/>
    </xf>
    <xf numFmtId="0" fontId="0" fillId="43" borderId="21" xfId="0" applyFill="1" applyBorder="1" applyAlignment="1" applyProtection="1">
      <alignment horizontal="center" vertical="center"/>
      <protection hidden="1"/>
    </xf>
    <xf numFmtId="0" fontId="0" fillId="43" borderId="59" xfId="0" applyFill="1" applyBorder="1" applyAlignment="1" applyProtection="1">
      <alignment horizontal="center" vertical="center"/>
      <protection hidden="1"/>
    </xf>
    <xf numFmtId="0" fontId="0" fillId="43" borderId="35" xfId="0" applyFill="1" applyBorder="1" applyAlignment="1" applyProtection="1">
      <alignment horizontal="center" vertical="center"/>
      <protection hidden="1"/>
    </xf>
    <xf numFmtId="49" fontId="87" fillId="38" borderId="22" xfId="0" applyNumberFormat="1" applyFont="1" applyFill="1" applyBorder="1" applyAlignment="1">
      <alignment horizontal="center" vertical="center"/>
    </xf>
    <xf numFmtId="0" fontId="87" fillId="38" borderId="23" xfId="0" applyFont="1" applyFill="1" applyBorder="1" applyAlignment="1">
      <alignment horizontal="center" vertical="center"/>
    </xf>
    <xf numFmtId="0" fontId="0" fillId="10" borderId="14" xfId="0" applyFill="1" applyBorder="1" applyAlignment="1" applyProtection="1">
      <alignment horizontal="center" vertical="center"/>
      <protection hidden="1"/>
    </xf>
    <xf numFmtId="49" fontId="0" fillId="38" borderId="59" xfId="0" applyNumberFormat="1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22" xfId="0" applyFill="1" applyBorder="1" applyAlignment="1" applyProtection="1">
      <alignment horizontal="center" vertical="center"/>
      <protection hidden="1"/>
    </xf>
    <xf numFmtId="0" fontId="0" fillId="10" borderId="23" xfId="0" applyFill="1" applyBorder="1" applyAlignment="1" applyProtection="1">
      <alignment horizontal="center" vertical="center"/>
      <protection hidden="1"/>
    </xf>
    <xf numFmtId="0" fontId="4" fillId="10" borderId="63" xfId="0" applyFont="1" applyFill="1" applyBorder="1" applyAlignment="1" applyProtection="1">
      <alignment vertical="center"/>
      <protection hidden="1"/>
    </xf>
    <xf numFmtId="0" fontId="4" fillId="10" borderId="35" xfId="0" applyFont="1" applyFill="1" applyBorder="1" applyAlignment="1" applyProtection="1">
      <alignment vertical="center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0" fillId="43" borderId="15" xfId="0" applyFill="1" applyBorder="1" applyAlignment="1" applyProtection="1">
      <alignment horizontal="center" vertical="center"/>
      <protection hidden="1"/>
    </xf>
    <xf numFmtId="0" fontId="0" fillId="43" borderId="63" xfId="0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top" wrapText="1"/>
      <protection hidden="1"/>
    </xf>
    <xf numFmtId="0" fontId="14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28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21" fillId="0" borderId="28" xfId="0" applyFont="1" applyFill="1" applyBorder="1" applyAlignment="1" applyProtection="1">
      <alignment horizontal="left" vertical="top" wrapText="1"/>
      <protection hidden="1"/>
    </xf>
    <xf numFmtId="0" fontId="21" fillId="0" borderId="14" xfId="0" applyFont="1" applyFill="1" applyBorder="1" applyAlignment="1" applyProtection="1">
      <alignment horizontal="left" vertical="top" wrapText="1"/>
      <protection hidden="1"/>
    </xf>
    <xf numFmtId="0" fontId="13" fillId="0" borderId="30" xfId="0" applyFont="1" applyFill="1" applyBorder="1" applyAlignment="1" applyProtection="1">
      <alignment horizontal="left" vertical="top" wrapText="1"/>
      <protection hidden="1"/>
    </xf>
    <xf numFmtId="0" fontId="13" fillId="0" borderId="31" xfId="0" applyFont="1" applyFill="1" applyBorder="1" applyAlignment="1" applyProtection="1">
      <alignment horizontal="left" vertical="top" wrapText="1"/>
      <protection hidden="1"/>
    </xf>
    <xf numFmtId="10" fontId="13" fillId="0" borderId="18" xfId="0" applyNumberFormat="1" applyFont="1" applyFill="1" applyBorder="1" applyAlignment="1" applyProtection="1">
      <alignment horizontal="left" vertical="top"/>
      <protection hidden="1"/>
    </xf>
    <xf numFmtId="10" fontId="13" fillId="0" borderId="46" xfId="0" applyNumberFormat="1" applyFont="1" applyFill="1" applyBorder="1" applyAlignment="1" applyProtection="1">
      <alignment horizontal="left" vertical="top"/>
      <protection hidden="1"/>
    </xf>
    <xf numFmtId="0" fontId="13" fillId="42" borderId="18" xfId="0" applyFont="1" applyFill="1" applyBorder="1" applyAlignment="1" applyProtection="1">
      <alignment horizontal="left" vertical="top"/>
      <protection hidden="1"/>
    </xf>
    <xf numFmtId="0" fontId="13" fillId="42" borderId="46" xfId="0" applyFont="1" applyFill="1" applyBorder="1" applyAlignment="1" applyProtection="1">
      <alignment horizontal="left" vertical="top"/>
      <protection hidden="1"/>
    </xf>
    <xf numFmtId="0" fontId="16" fillId="0" borderId="34" xfId="0" applyFont="1" applyFill="1" applyBorder="1" applyAlignment="1" applyProtection="1">
      <alignment horizontal="left" vertical="top" wrapText="1"/>
      <protection hidden="1"/>
    </xf>
    <xf numFmtId="0" fontId="16" fillId="0" borderId="35" xfId="0" applyFont="1" applyFill="1" applyBorder="1" applyAlignment="1" applyProtection="1">
      <alignment horizontal="left" vertical="top" wrapText="1"/>
      <protection hidden="1"/>
    </xf>
    <xf numFmtId="0" fontId="13" fillId="0" borderId="28" xfId="0" applyFont="1" applyFill="1" applyBorder="1" applyAlignment="1" applyProtection="1">
      <alignment horizontal="left" vertical="top" wrapText="1"/>
      <protection hidden="1"/>
    </xf>
    <xf numFmtId="0" fontId="13" fillId="0" borderId="14" xfId="0" applyFont="1" applyFill="1" applyBorder="1" applyAlignment="1" applyProtection="1">
      <alignment horizontal="left" vertical="top" wrapText="1"/>
      <protection hidden="1"/>
    </xf>
    <xf numFmtId="0" fontId="14" fillId="0" borderId="33" xfId="0" applyFont="1" applyFill="1" applyBorder="1" applyAlignment="1" applyProtection="1">
      <alignment horizontal="left" vertical="top" wrapText="1"/>
      <protection hidden="1"/>
    </xf>
    <xf numFmtId="0" fontId="14" fillId="0" borderId="15" xfId="0" applyFont="1" applyFill="1" applyBorder="1" applyAlignment="1" applyProtection="1">
      <alignment horizontal="left" vertical="top" wrapText="1"/>
      <protection hidden="1"/>
    </xf>
    <xf numFmtId="0" fontId="21" fillId="0" borderId="28" xfId="0" applyFont="1" applyFill="1" applyBorder="1" applyAlignment="1" applyProtection="1">
      <alignment horizontal="left" vertical="top"/>
      <protection hidden="1"/>
    </xf>
    <xf numFmtId="0" fontId="21" fillId="0" borderId="14" xfId="0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3" fillId="0" borderId="46" xfId="0" applyFont="1" applyFill="1" applyBorder="1" applyAlignment="1" applyProtection="1">
      <alignment horizontal="left" vertical="top" wrapText="1"/>
      <protection hidden="1"/>
    </xf>
    <xf numFmtId="0" fontId="17" fillId="0" borderId="28" xfId="0" applyFont="1" applyFill="1" applyBorder="1" applyAlignment="1" applyProtection="1">
      <alignment horizontal="left" vertical="top" wrapText="1"/>
      <protection hidden="1"/>
    </xf>
    <xf numFmtId="0" fontId="17" fillId="0" borderId="14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4" fillId="0" borderId="34" xfId="0" applyFont="1" applyFill="1" applyBorder="1" applyAlignment="1" applyProtection="1">
      <alignment horizontal="left" vertical="top" wrapText="1"/>
      <protection hidden="1"/>
    </xf>
    <xf numFmtId="0" fontId="14" fillId="0" borderId="35" xfId="0" applyFont="1" applyFill="1" applyBorder="1" applyAlignment="1" applyProtection="1">
      <alignment horizontal="left" vertical="top" wrapText="1"/>
      <protection hidden="1"/>
    </xf>
    <xf numFmtId="0" fontId="3" fillId="0" borderId="29" xfId="0" applyFont="1" applyFill="1" applyBorder="1" applyAlignment="1" applyProtection="1">
      <alignment horizontal="center" vertical="top" wrapText="1"/>
      <protection hidden="1"/>
    </xf>
    <xf numFmtId="0" fontId="3" fillId="0" borderId="45" xfId="0" applyFont="1" applyFill="1" applyBorder="1" applyAlignment="1" applyProtection="1">
      <alignment horizontal="center" vertical="top" wrapText="1"/>
      <protection hidden="1"/>
    </xf>
    <xf numFmtId="0" fontId="4" fillId="0" borderId="34" xfId="0" applyFont="1" applyFill="1" applyBorder="1" applyAlignment="1" applyProtection="1">
      <alignment horizontal="left" vertical="top" wrapText="1"/>
      <protection hidden="1"/>
    </xf>
    <xf numFmtId="0" fontId="4" fillId="0" borderId="35" xfId="0" applyFont="1" applyFill="1" applyBorder="1" applyAlignment="1" applyProtection="1">
      <alignment horizontal="left" vertical="top" wrapText="1"/>
      <protection hidden="1"/>
    </xf>
    <xf numFmtId="0" fontId="4" fillId="0" borderId="28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33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top" wrapText="1"/>
      <protection hidden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45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2" fontId="32" fillId="42" borderId="64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65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36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7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12" xfId="0" applyFont="1" applyFill="1" applyBorder="1" applyAlignment="1" applyProtection="1">
      <alignment horizontal="center" vertical="center" wrapText="1"/>
      <protection hidden="1" locked="0"/>
    </xf>
    <xf numFmtId="0" fontId="32" fillId="42" borderId="57" xfId="0" applyFont="1" applyFill="1" applyBorder="1" applyAlignment="1" applyProtection="1">
      <alignment horizontal="center" vertical="center" wrapText="1"/>
      <protection hidden="1"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 wrapText="1"/>
      <protection hidden="1"/>
    </xf>
    <xf numFmtId="0" fontId="32" fillId="42" borderId="67" xfId="0" applyFont="1" applyFill="1" applyBorder="1" applyAlignment="1" applyProtection="1">
      <alignment horizontal="center" vertical="center" wrapText="1"/>
      <protection hidden="1" locked="0"/>
    </xf>
    <xf numFmtId="0" fontId="32" fillId="42" borderId="68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7" xfId="0" applyFont="1" applyFill="1" applyBorder="1" applyAlignment="1" applyProtection="1">
      <alignment horizontal="left" vertical="top" wrapText="1"/>
      <protection hidden="1"/>
    </xf>
    <xf numFmtId="0" fontId="79" fillId="0" borderId="29" xfId="0" applyFont="1" applyFill="1" applyBorder="1" applyAlignment="1" applyProtection="1">
      <alignment horizontal="center" vertical="center"/>
      <protection hidden="1"/>
    </xf>
    <xf numFmtId="0" fontId="79" fillId="0" borderId="12" xfId="0" applyFont="1" applyFill="1" applyBorder="1" applyAlignment="1" applyProtection="1">
      <alignment horizontal="center" vertical="center"/>
      <protection hidden="1"/>
    </xf>
    <xf numFmtId="0" fontId="79" fillId="0" borderId="45" xfId="0" applyFont="1" applyFill="1" applyBorder="1" applyAlignment="1" applyProtection="1">
      <alignment horizontal="center" vertical="center"/>
      <protection hidden="1"/>
    </xf>
    <xf numFmtId="0" fontId="32" fillId="42" borderId="36" xfId="0" applyFont="1" applyFill="1" applyBorder="1" applyAlignment="1" applyProtection="1">
      <alignment horizontal="center" vertical="center" wrapText="1"/>
      <protection hidden="1" locked="0"/>
    </xf>
    <xf numFmtId="1" fontId="32" fillId="42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32" fillId="42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2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1" fontId="32" fillId="42" borderId="69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171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0" fillId="43" borderId="14" xfId="0" applyFont="1" applyFill="1" applyBorder="1" applyAlignment="1">
      <alignment horizontal="center" vertical="center"/>
    </xf>
    <xf numFmtId="10" fontId="13" fillId="0" borderId="47" xfId="0" applyNumberFormat="1" applyFont="1" applyFill="1" applyBorder="1" applyAlignment="1" applyProtection="1">
      <alignment horizontal="left" vertical="top"/>
      <protection hidden="1"/>
    </xf>
    <xf numFmtId="0" fontId="13" fillId="0" borderId="18" xfId="0" applyFont="1" applyFill="1" applyBorder="1" applyAlignment="1" applyProtection="1">
      <alignment horizontal="left" vertical="top"/>
      <protection hidden="1"/>
    </xf>
    <xf numFmtId="0" fontId="13" fillId="0" borderId="46" xfId="0" applyFont="1" applyFill="1" applyBorder="1" applyAlignment="1" applyProtection="1">
      <alignment horizontal="left" vertical="top"/>
      <protection hidden="1"/>
    </xf>
    <xf numFmtId="0" fontId="13" fillId="0" borderId="47" xfId="0" applyFont="1" applyFill="1" applyBorder="1" applyAlignment="1" applyProtection="1">
      <alignment horizontal="left" vertical="top"/>
      <protection hidden="1"/>
    </xf>
    <xf numFmtId="2" fontId="32" fillId="42" borderId="70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70" xfId="0" applyFont="1" applyFill="1" applyBorder="1" applyAlignment="1" applyProtection="1">
      <alignment horizontal="center" vertical="center" wrapText="1"/>
      <protection hidden="1" locked="0"/>
    </xf>
    <xf numFmtId="0" fontId="32" fillId="42" borderId="65" xfId="0" applyFont="1" applyFill="1" applyBorder="1" applyAlignment="1" applyProtection="1">
      <alignment horizontal="center" vertical="center" wrapText="1"/>
      <protection hidden="1" locked="0"/>
    </xf>
    <xf numFmtId="16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top" wrapText="1"/>
      <protection hidden="1"/>
    </xf>
    <xf numFmtId="165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7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69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2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3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4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166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36" borderId="59" xfId="0" applyNumberForma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95250</xdr:rowOff>
    </xdr:from>
    <xdr:to>
      <xdr:col>6</xdr:col>
      <xdr:colOff>447675</xdr:colOff>
      <xdr:row>7</xdr:row>
      <xdr:rowOff>390525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1438275"/>
          <a:ext cx="3524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4</xdr:col>
      <xdr:colOff>28575</xdr:colOff>
      <xdr:row>32</xdr:row>
      <xdr:rowOff>523875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5724525"/>
          <a:ext cx="2028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38</xdr:row>
      <xdr:rowOff>200025</xdr:rowOff>
    </xdr:from>
    <xdr:to>
      <xdr:col>4</xdr:col>
      <xdr:colOff>361950</xdr:colOff>
      <xdr:row>40</xdr:row>
      <xdr:rowOff>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7458075"/>
          <a:ext cx="215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47</xdr:row>
      <xdr:rowOff>0</xdr:rowOff>
    </xdr:from>
    <xdr:to>
      <xdr:col>3</xdr:col>
      <xdr:colOff>647700</xdr:colOff>
      <xdr:row>47</xdr:row>
      <xdr:rowOff>514350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9363075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50</xdr:row>
      <xdr:rowOff>180975</xdr:rowOff>
    </xdr:from>
    <xdr:to>
      <xdr:col>6</xdr:col>
      <xdr:colOff>485775</xdr:colOff>
      <xdr:row>51</xdr:row>
      <xdr:rowOff>504825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10506075"/>
          <a:ext cx="3667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342900</xdr:rowOff>
    </xdr:from>
    <xdr:to>
      <xdr:col>1</xdr:col>
      <xdr:colOff>438150</xdr:colOff>
      <xdr:row>54</xdr:row>
      <xdr:rowOff>9525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1430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57</xdr:row>
      <xdr:rowOff>9525</xdr:rowOff>
    </xdr:from>
    <xdr:to>
      <xdr:col>3</xdr:col>
      <xdr:colOff>476250</xdr:colOff>
      <xdr:row>57</xdr:row>
      <xdr:rowOff>533400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124206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57</xdr:row>
      <xdr:rowOff>533400</xdr:rowOff>
    </xdr:from>
    <xdr:to>
      <xdr:col>1</xdr:col>
      <xdr:colOff>304800</xdr:colOff>
      <xdr:row>60</xdr:row>
      <xdr:rowOff>38100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12944475"/>
          <a:ext cx="257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62</xdr:row>
      <xdr:rowOff>85725</xdr:rowOff>
    </xdr:from>
    <xdr:to>
      <xdr:col>4</xdr:col>
      <xdr:colOff>247650</xdr:colOff>
      <xdr:row>62</xdr:row>
      <xdr:rowOff>390525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3773150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63</xdr:row>
      <xdr:rowOff>9525</xdr:rowOff>
    </xdr:from>
    <xdr:to>
      <xdr:col>1</xdr:col>
      <xdr:colOff>428625</xdr:colOff>
      <xdr:row>65</xdr:row>
      <xdr:rowOff>47625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41351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65</xdr:row>
      <xdr:rowOff>9525</xdr:rowOff>
    </xdr:from>
    <xdr:to>
      <xdr:col>1</xdr:col>
      <xdr:colOff>676275</xdr:colOff>
      <xdr:row>67</xdr:row>
      <xdr:rowOff>47625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1448752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69</xdr:row>
      <xdr:rowOff>142875</xdr:rowOff>
    </xdr:from>
    <xdr:to>
      <xdr:col>6</xdr:col>
      <xdr:colOff>266700</xdr:colOff>
      <xdr:row>70</xdr:row>
      <xdr:rowOff>95250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15354300"/>
          <a:ext cx="3724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295275</xdr:rowOff>
    </xdr:from>
    <xdr:to>
      <xdr:col>1</xdr:col>
      <xdr:colOff>314325</xdr:colOff>
      <xdr:row>73</xdr:row>
      <xdr:rowOff>9525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62401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75</xdr:row>
      <xdr:rowOff>47625</xdr:rowOff>
    </xdr:from>
    <xdr:to>
      <xdr:col>6</xdr:col>
      <xdr:colOff>133350</xdr:colOff>
      <xdr:row>75</xdr:row>
      <xdr:rowOff>514350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6973550"/>
          <a:ext cx="3505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9525</xdr:rowOff>
    </xdr:from>
    <xdr:to>
      <xdr:col>4</xdr:col>
      <xdr:colOff>666750</xdr:colOff>
      <xdr:row>78</xdr:row>
      <xdr:rowOff>9525</xdr:rowOff>
    </xdr:to>
    <xdr:pic>
      <xdr:nvPicPr>
        <xdr:cNvPr id="15" name="Рисунок 2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7506950"/>
          <a:ext cx="2667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78</xdr:row>
      <xdr:rowOff>19050</xdr:rowOff>
    </xdr:from>
    <xdr:to>
      <xdr:col>1</xdr:col>
      <xdr:colOff>342900</xdr:colOff>
      <xdr:row>80</xdr:row>
      <xdr:rowOff>19050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7868900"/>
          <a:ext cx="219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51</xdr:row>
      <xdr:rowOff>561975</xdr:rowOff>
    </xdr:from>
    <xdr:to>
      <xdr:col>4</xdr:col>
      <xdr:colOff>533400</xdr:colOff>
      <xdr:row>52</xdr:row>
      <xdr:rowOff>400050</xdr:rowOff>
    </xdr:to>
    <xdr:pic>
      <xdr:nvPicPr>
        <xdr:cNvPr id="17" name="Рисунок 25"/>
        <xdr:cNvPicPr preferRelativeResize="1">
          <a:picLocks noChangeAspect="1"/>
        </xdr:cNvPicPr>
      </xdr:nvPicPr>
      <xdr:blipFill>
        <a:blip r:embed="rId17"/>
        <a:srcRect t="-1" r="70268" b="-386"/>
        <a:stretch>
          <a:fillRect/>
        </a:stretch>
      </xdr:blipFill>
      <xdr:spPr>
        <a:xfrm>
          <a:off x="800100" y="11077575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142875</xdr:rowOff>
    </xdr:from>
    <xdr:to>
      <xdr:col>4</xdr:col>
      <xdr:colOff>276225</xdr:colOff>
      <xdr:row>71</xdr:row>
      <xdr:rowOff>381000</xdr:rowOff>
    </xdr:to>
    <xdr:pic>
      <xdr:nvPicPr>
        <xdr:cNvPr id="18" name="Рисунок 27"/>
        <xdr:cNvPicPr preferRelativeResize="1">
          <a:picLocks noChangeAspect="1"/>
        </xdr:cNvPicPr>
      </xdr:nvPicPr>
      <xdr:blipFill>
        <a:blip r:embed="rId18"/>
        <a:srcRect r="72265" b="4609"/>
        <a:stretch>
          <a:fillRect/>
        </a:stretch>
      </xdr:blipFill>
      <xdr:spPr>
        <a:xfrm>
          <a:off x="704850" y="15925800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104775</xdr:rowOff>
    </xdr:from>
    <xdr:to>
      <xdr:col>8</xdr:col>
      <xdr:colOff>581025</xdr:colOff>
      <xdr:row>28</xdr:row>
      <xdr:rowOff>85725</xdr:rowOff>
    </xdr:to>
    <xdr:pic>
      <xdr:nvPicPr>
        <xdr:cNvPr id="19" name="Рисунок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1525" y="1885950"/>
          <a:ext cx="52959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4</xdr:col>
      <xdr:colOff>1085850</xdr:colOff>
      <xdr:row>23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5</xdr:col>
      <xdr:colOff>438150</xdr:colOff>
      <xdr:row>23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5</xdr:col>
      <xdr:colOff>438150</xdr:colOff>
      <xdr:row>23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="85" zoomScaleNormal="85" zoomScalePageLayoutView="0" workbookViewId="0" topLeftCell="A7">
      <selection activeCell="W25" sqref="W25"/>
    </sheetView>
  </sheetViews>
  <sheetFormatPr defaultColWidth="9.00390625" defaultRowHeight="12.75"/>
  <sheetData>
    <row r="1" ht="15.75">
      <c r="A1" s="232" t="s">
        <v>150</v>
      </c>
    </row>
    <row r="2" ht="15">
      <c r="A2" s="233" t="s">
        <v>151</v>
      </c>
    </row>
    <row r="3" ht="15">
      <c r="A3" s="233" t="s">
        <v>152</v>
      </c>
    </row>
    <row r="4" ht="15">
      <c r="A4" s="233"/>
    </row>
    <row r="5" ht="15">
      <c r="A5" s="233" t="s">
        <v>167</v>
      </c>
    </row>
    <row r="6" ht="15">
      <c r="A6" s="233" t="s">
        <v>168</v>
      </c>
    </row>
    <row r="7" spans="1:12" ht="15">
      <c r="A7" s="233" t="s">
        <v>169</v>
      </c>
      <c r="L7" s="239"/>
    </row>
    <row r="8" spans="1:12" ht="34.5" customHeight="1">
      <c r="A8" s="234" t="s">
        <v>153</v>
      </c>
      <c r="L8" s="240" t="s">
        <v>154</v>
      </c>
    </row>
    <row r="9" ht="12.75">
      <c r="L9" s="239"/>
    </row>
    <row r="10" ht="12.75">
      <c r="L10" s="239"/>
    </row>
    <row r="11" ht="12.75">
      <c r="L11" s="239"/>
    </row>
    <row r="12" ht="12.75">
      <c r="L12" s="239"/>
    </row>
    <row r="13" ht="12.75">
      <c r="L13" s="239"/>
    </row>
    <row r="14" ht="12.75">
      <c r="L14" s="239"/>
    </row>
    <row r="15" ht="12.75">
      <c r="L15" s="239"/>
    </row>
    <row r="16" ht="12.75">
      <c r="L16" s="239"/>
    </row>
    <row r="17" ht="12.75">
      <c r="L17" s="239"/>
    </row>
    <row r="18" ht="12.75">
      <c r="L18" s="239"/>
    </row>
    <row r="19" ht="12.75">
      <c r="L19" s="239"/>
    </row>
    <row r="20" ht="12.75">
      <c r="L20" s="239"/>
    </row>
    <row r="21" ht="12.75">
      <c r="L21" s="239"/>
    </row>
    <row r="22" ht="12.75">
      <c r="L22" s="239"/>
    </row>
    <row r="23" ht="12.75">
      <c r="L23" s="239"/>
    </row>
    <row r="24" ht="12.75">
      <c r="L24" s="239"/>
    </row>
    <row r="25" ht="12.75">
      <c r="L25" s="239"/>
    </row>
    <row r="26" ht="12.75">
      <c r="L26" s="239"/>
    </row>
    <row r="27" ht="12.75">
      <c r="L27" s="239"/>
    </row>
    <row r="28" ht="12.75">
      <c r="L28" s="239"/>
    </row>
    <row r="29" ht="12.75">
      <c r="L29" s="239"/>
    </row>
    <row r="30" ht="12.75">
      <c r="L30" s="239"/>
    </row>
    <row r="31" spans="1:17" ht="15">
      <c r="A31" s="235" t="s">
        <v>155</v>
      </c>
      <c r="L31" s="239"/>
      <c r="Q31" s="234"/>
    </row>
    <row r="32" spans="1:12" ht="15">
      <c r="A32" s="236" t="s">
        <v>156</v>
      </c>
      <c r="L32" s="239"/>
    </row>
    <row r="33" ht="45" customHeight="1">
      <c r="L33" s="240" t="s">
        <v>165</v>
      </c>
    </row>
    <row r="34" spans="1:12" ht="15.75">
      <c r="A34" s="236" t="s">
        <v>157</v>
      </c>
      <c r="B34" s="237" t="s">
        <v>158</v>
      </c>
      <c r="L34" s="239"/>
    </row>
    <row r="35" spans="2:12" ht="15">
      <c r="B35" s="236" t="s">
        <v>195</v>
      </c>
      <c r="L35" s="239"/>
    </row>
    <row r="36" spans="2:12" ht="15">
      <c r="B36" s="236" t="s">
        <v>159</v>
      </c>
      <c r="L36" s="239"/>
    </row>
    <row r="37" spans="2:12" ht="15">
      <c r="B37" s="236" t="s">
        <v>160</v>
      </c>
      <c r="L37" s="239"/>
    </row>
    <row r="38" spans="2:12" ht="15">
      <c r="B38" s="236" t="s">
        <v>161</v>
      </c>
      <c r="L38" s="239"/>
    </row>
    <row r="39" spans="1:12" ht="15.75">
      <c r="A39" s="236" t="s">
        <v>162</v>
      </c>
      <c r="L39" s="239"/>
    </row>
    <row r="40" spans="2:12" ht="45" customHeight="1">
      <c r="B40" s="234"/>
      <c r="L40" s="240" t="s">
        <v>166</v>
      </c>
    </row>
    <row r="41" spans="1:12" ht="15">
      <c r="A41" s="236" t="s">
        <v>193</v>
      </c>
      <c r="L41" s="239"/>
    </row>
    <row r="42" spans="1:12" ht="15">
      <c r="A42" s="236"/>
      <c r="L42" s="239"/>
    </row>
    <row r="43" spans="1:12" ht="15">
      <c r="A43" s="236" t="s">
        <v>196</v>
      </c>
      <c r="C43" s="236" t="s">
        <v>197</v>
      </c>
      <c r="L43" s="239"/>
    </row>
    <row r="44" spans="1:12" ht="15">
      <c r="A44" s="236"/>
      <c r="C44" s="238" t="s">
        <v>198</v>
      </c>
      <c r="L44" s="239"/>
    </row>
    <row r="45" spans="1:12" ht="15">
      <c r="A45" s="236"/>
      <c r="C45" s="236"/>
      <c r="L45" s="239"/>
    </row>
    <row r="46" spans="1:12" ht="15">
      <c r="A46" s="235" t="s">
        <v>163</v>
      </c>
      <c r="L46" s="239"/>
    </row>
    <row r="47" spans="1:12" ht="15">
      <c r="A47" s="236" t="s">
        <v>164</v>
      </c>
      <c r="L47" s="239"/>
    </row>
    <row r="48" spans="1:12" ht="45" customHeight="1">
      <c r="A48" s="236"/>
      <c r="L48" s="240" t="s">
        <v>183</v>
      </c>
    </row>
    <row r="49" spans="1:12" ht="15.75">
      <c r="A49" s="236" t="s">
        <v>170</v>
      </c>
      <c r="L49" s="239"/>
    </row>
    <row r="50" spans="1:12" ht="15">
      <c r="A50" s="236" t="s">
        <v>187</v>
      </c>
      <c r="L50" s="239"/>
    </row>
    <row r="51" spans="1:12" ht="15">
      <c r="A51" s="236" t="s">
        <v>188</v>
      </c>
      <c r="L51" s="239"/>
    </row>
    <row r="52" spans="2:12" ht="45" customHeight="1">
      <c r="B52" s="234"/>
      <c r="L52" s="240" t="s">
        <v>184</v>
      </c>
    </row>
    <row r="53" spans="1:12" ht="34.5" customHeight="1">
      <c r="A53" s="236" t="s">
        <v>157</v>
      </c>
      <c r="B53" s="234"/>
      <c r="F53" s="236" t="s">
        <v>185</v>
      </c>
      <c r="L53" s="241"/>
    </row>
    <row r="54" spans="2:12" ht="15" customHeight="1">
      <c r="B54" s="234"/>
      <c r="C54" s="238" t="s">
        <v>171</v>
      </c>
      <c r="L54" s="241"/>
    </row>
    <row r="55" spans="2:12" ht="24.75" customHeight="1">
      <c r="B55" s="234"/>
      <c r="C55" s="238"/>
      <c r="L55" s="241"/>
    </row>
    <row r="56" spans="1:12" ht="15">
      <c r="A56" s="235" t="s">
        <v>172</v>
      </c>
      <c r="L56" s="239"/>
    </row>
    <row r="57" spans="1:12" ht="15">
      <c r="A57" s="236" t="s">
        <v>173</v>
      </c>
      <c r="L57" s="239"/>
    </row>
    <row r="58" spans="2:12" ht="45" customHeight="1">
      <c r="B58" s="234"/>
      <c r="L58" s="240" t="s">
        <v>186</v>
      </c>
    </row>
    <row r="59" ht="12.75">
      <c r="L59" s="239"/>
    </row>
    <row r="60" spans="1:12" ht="15">
      <c r="A60" s="236" t="s">
        <v>157</v>
      </c>
      <c r="C60" s="238" t="s">
        <v>174</v>
      </c>
      <c r="L60" s="239"/>
    </row>
    <row r="61" ht="12.75">
      <c r="L61" s="239"/>
    </row>
    <row r="62" spans="1:12" ht="15">
      <c r="A62" s="236" t="s">
        <v>175</v>
      </c>
      <c r="L62" s="239"/>
    </row>
    <row r="63" ht="34.5" customHeight="1">
      <c r="L63" s="240" t="s">
        <v>189</v>
      </c>
    </row>
    <row r="64" ht="12.75">
      <c r="L64" s="239"/>
    </row>
    <row r="65" spans="1:12" ht="15">
      <c r="A65" s="236" t="s">
        <v>157</v>
      </c>
      <c r="C65" s="236" t="s">
        <v>176</v>
      </c>
      <c r="L65" s="239"/>
    </row>
    <row r="66" ht="12.75">
      <c r="L66" s="239"/>
    </row>
    <row r="67" spans="3:12" ht="15">
      <c r="C67" s="236" t="s">
        <v>177</v>
      </c>
      <c r="L67" s="239"/>
    </row>
    <row r="68" spans="1:12" ht="15">
      <c r="A68" s="234" t="s">
        <v>153</v>
      </c>
      <c r="B68" s="234"/>
      <c r="L68" s="239"/>
    </row>
    <row r="69" spans="1:12" ht="15">
      <c r="A69" s="236" t="s">
        <v>178</v>
      </c>
      <c r="L69" s="239"/>
    </row>
    <row r="70" ht="45" customHeight="1">
      <c r="L70" s="240" t="s">
        <v>190</v>
      </c>
    </row>
    <row r="71" ht="12.75">
      <c r="L71" s="239"/>
    </row>
    <row r="72" spans="1:12" ht="34.5" customHeight="1">
      <c r="A72" s="236" t="s">
        <v>157</v>
      </c>
      <c r="B72" s="234"/>
      <c r="E72" s="236" t="s">
        <v>191</v>
      </c>
      <c r="L72" s="239"/>
    </row>
    <row r="73" spans="3:12" ht="15">
      <c r="C73" s="236" t="s">
        <v>179</v>
      </c>
      <c r="L73" s="239"/>
    </row>
    <row r="74" ht="12.75">
      <c r="L74" s="239"/>
    </row>
    <row r="75" spans="1:12" ht="15">
      <c r="A75" s="236" t="s">
        <v>180</v>
      </c>
      <c r="L75" s="239"/>
    </row>
    <row r="76" spans="2:12" ht="45" customHeight="1">
      <c r="B76" s="234"/>
      <c r="L76" s="240" t="s">
        <v>192</v>
      </c>
    </row>
    <row r="77" ht="12.75">
      <c r="L77" s="239"/>
    </row>
    <row r="78" spans="1:12" ht="15">
      <c r="A78" s="236" t="s">
        <v>157</v>
      </c>
      <c r="F78" s="236" t="s">
        <v>181</v>
      </c>
      <c r="L78" s="239"/>
    </row>
    <row r="79" ht="12.75">
      <c r="L79" s="239"/>
    </row>
    <row r="80" spans="3:12" ht="15">
      <c r="C80" s="236" t="s">
        <v>182</v>
      </c>
      <c r="L80" s="239"/>
    </row>
    <row r="81" ht="12.75">
      <c r="L81" s="239"/>
    </row>
    <row r="82" ht="12.75">
      <c r="L82" s="239"/>
    </row>
    <row r="84" ht="15">
      <c r="A84" s="236" t="s">
        <v>77</v>
      </c>
    </row>
    <row r="85" ht="15">
      <c r="A85" s="236" t="s">
        <v>79</v>
      </c>
    </row>
    <row r="86" ht="15">
      <c r="A86" s="236" t="s">
        <v>0</v>
      </c>
    </row>
  </sheetData>
  <sheetProtection password="E09E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121"/>
  <sheetViews>
    <sheetView tabSelected="1" zoomScale="75" zoomScaleNormal="75" zoomScalePageLayoutView="0" workbookViewId="0" topLeftCell="A25">
      <selection activeCell="Y41" sqref="Y41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12.75390625" style="1" customWidth="1"/>
    <col min="5" max="5" width="15.875" style="1" customWidth="1"/>
    <col min="6" max="6" width="27.25390625" style="1" customWidth="1"/>
    <col min="7" max="7" width="29.625" style="1" customWidth="1"/>
    <col min="8" max="8" width="21.00390625" style="1" customWidth="1"/>
    <col min="9" max="9" width="4.875" style="33" customWidth="1"/>
    <col min="10" max="10" width="5.75390625" style="33" customWidth="1"/>
    <col min="11" max="11" width="11.875" style="1" hidden="1" customWidth="1"/>
    <col min="12" max="12" width="12.75390625" style="1" hidden="1" customWidth="1"/>
    <col min="13" max="14" width="10.625" style="1" hidden="1" customWidth="1"/>
    <col min="15" max="15" width="12.25390625" style="1" hidden="1" customWidth="1"/>
    <col min="16" max="16" width="8.125" style="1" hidden="1" customWidth="1"/>
    <col min="17" max="17" width="2.625" style="1" hidden="1" customWidth="1"/>
    <col min="18" max="18" width="13.25390625" style="1" hidden="1" customWidth="1"/>
    <col min="19" max="19" width="13.875" style="1" hidden="1" customWidth="1"/>
    <col min="20" max="20" width="12.00390625" style="1" hidden="1" customWidth="1"/>
    <col min="21" max="21" width="19.75390625" style="1" hidden="1" customWidth="1"/>
    <col min="22" max="22" width="5.75390625" style="1" hidden="1" customWidth="1"/>
    <col min="23" max="24" width="10.625" style="1" hidden="1" customWidth="1"/>
    <col min="25" max="28" width="10.625" style="1" customWidth="1"/>
    <col min="29" max="29" width="4.125" style="1" customWidth="1"/>
    <col min="30" max="32" width="10.625" style="1" customWidth="1"/>
    <col min="33" max="33" width="20.875" style="1" customWidth="1"/>
    <col min="34" max="34" width="2.625" style="1" customWidth="1"/>
    <col min="35" max="39" width="10.625" style="1" customWidth="1"/>
  </cols>
  <sheetData>
    <row r="1" ht="13.5" thickBot="1"/>
    <row r="2" spans="2:9" ht="12.75">
      <c r="B2" s="185"/>
      <c r="C2" s="186"/>
      <c r="D2" s="186"/>
      <c r="E2" s="186"/>
      <c r="F2" s="186"/>
      <c r="G2" s="186"/>
      <c r="H2" s="186"/>
      <c r="I2" s="187"/>
    </row>
    <row r="3" spans="1:39" ht="20.25" customHeight="1">
      <c r="A3" s="21"/>
      <c r="B3" s="183"/>
      <c r="C3" s="230" t="s">
        <v>120</v>
      </c>
      <c r="D3" s="230"/>
      <c r="E3" s="230"/>
      <c r="F3" s="230"/>
      <c r="G3" s="230"/>
      <c r="H3" s="230"/>
      <c r="I3" s="184"/>
      <c r="J3" s="99"/>
      <c r="K3" s="31"/>
      <c r="L3" s="3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20.25" customHeight="1">
      <c r="A4" s="43"/>
      <c r="B4" s="157"/>
      <c r="C4" s="158"/>
      <c r="D4" s="100"/>
      <c r="E4" s="158"/>
      <c r="F4" s="158"/>
      <c r="G4" s="158"/>
      <c r="H4" s="159"/>
      <c r="I4" s="160"/>
      <c r="J4" s="101"/>
      <c r="K4" s="32"/>
      <c r="L4" s="3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18" customHeight="1">
      <c r="A5" s="43"/>
      <c r="B5" s="157"/>
      <c r="C5" s="102" t="s">
        <v>116</v>
      </c>
      <c r="D5" s="224"/>
      <c r="E5" s="225"/>
      <c r="F5" s="225"/>
      <c r="G5" s="225"/>
      <c r="H5" s="242"/>
      <c r="I5" s="160"/>
      <c r="J5" s="101"/>
      <c r="K5" s="32"/>
      <c r="L5" s="3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18" customHeight="1">
      <c r="A6" s="43"/>
      <c r="B6" s="157"/>
      <c r="C6" s="5"/>
      <c r="D6" s="222"/>
      <c r="E6" s="223"/>
      <c r="F6" s="223"/>
      <c r="G6" s="223"/>
      <c r="H6" s="243"/>
      <c r="I6" s="160"/>
      <c r="J6" s="101"/>
      <c r="K6" s="32"/>
      <c r="L6" s="3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18" customHeight="1">
      <c r="A7" s="43"/>
      <c r="B7" s="157"/>
      <c r="C7" s="158"/>
      <c r="D7" s="226"/>
      <c r="E7" s="227"/>
      <c r="F7" s="227"/>
      <c r="G7" s="227"/>
      <c r="H7" s="244"/>
      <c r="I7" s="160"/>
      <c r="J7" s="101"/>
      <c r="K7" s="32"/>
      <c r="L7" s="3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2:10" ht="15.75" customHeight="1">
      <c r="B8" s="161"/>
      <c r="C8" s="162"/>
      <c r="D8" s="162"/>
      <c r="E8" s="162"/>
      <c r="F8" s="162"/>
      <c r="G8" s="162"/>
      <c r="H8" s="162"/>
      <c r="I8" s="163"/>
      <c r="J8" s="103"/>
    </row>
    <row r="9" spans="2:9" ht="15.75" customHeight="1">
      <c r="B9" s="164"/>
      <c r="C9" s="165"/>
      <c r="D9" s="165"/>
      <c r="E9" s="165"/>
      <c r="F9" s="165"/>
      <c r="G9" s="165"/>
      <c r="H9" s="165"/>
      <c r="I9" s="166"/>
    </row>
    <row r="10" spans="2:9" ht="15.75" customHeight="1">
      <c r="B10" s="164"/>
      <c r="C10" s="48"/>
      <c r="D10" s="48"/>
      <c r="E10" s="48"/>
      <c r="F10" s="48"/>
      <c r="I10" s="166"/>
    </row>
    <row r="11" spans="2:9" ht="15.75" customHeight="1">
      <c r="B11" s="164"/>
      <c r="C11" s="48"/>
      <c r="D11" s="48"/>
      <c r="E11" s="48"/>
      <c r="F11" s="48"/>
      <c r="I11" s="166"/>
    </row>
    <row r="12" spans="2:9" ht="15.75" customHeight="1">
      <c r="B12" s="164"/>
      <c r="C12" s="48"/>
      <c r="D12" s="48"/>
      <c r="E12" s="48"/>
      <c r="F12" s="48"/>
      <c r="I12" s="166"/>
    </row>
    <row r="13" spans="2:9" ht="15.75" customHeight="1">
      <c r="B13" s="164"/>
      <c r="C13" s="48"/>
      <c r="D13" s="48"/>
      <c r="E13" s="48"/>
      <c r="F13" s="48"/>
      <c r="I13" s="166"/>
    </row>
    <row r="14" spans="2:9" ht="15.75" customHeight="1">
      <c r="B14" s="164"/>
      <c r="C14" s="48"/>
      <c r="D14" s="48"/>
      <c r="E14" s="48"/>
      <c r="F14" s="48"/>
      <c r="G14" s="408" t="s">
        <v>119</v>
      </c>
      <c r="H14" s="409"/>
      <c r="I14" s="166"/>
    </row>
    <row r="15" spans="2:9" ht="15.75" customHeight="1">
      <c r="B15" s="164"/>
      <c r="C15" s="48"/>
      <c r="D15" s="48"/>
      <c r="E15" s="48"/>
      <c r="F15" s="48"/>
      <c r="G15" s="357" t="s">
        <v>149</v>
      </c>
      <c r="H15" s="357" t="s">
        <v>194</v>
      </c>
      <c r="I15" s="166"/>
    </row>
    <row r="16" spans="2:9" ht="15.75" customHeight="1">
      <c r="B16" s="164"/>
      <c r="C16" s="48"/>
      <c r="D16" s="48"/>
      <c r="E16" s="48"/>
      <c r="F16" s="48"/>
      <c r="G16" s="358" t="s">
        <v>131</v>
      </c>
      <c r="H16" s="249">
        <v>111</v>
      </c>
      <c r="I16" s="166"/>
    </row>
    <row r="17" spans="2:9" ht="15.75" customHeight="1">
      <c r="B17" s="164"/>
      <c r="C17" s="48"/>
      <c r="D17" s="48"/>
      <c r="E17" s="48"/>
      <c r="G17" s="250" t="s">
        <v>132</v>
      </c>
      <c r="H17" s="250">
        <v>128</v>
      </c>
      <c r="I17" s="166"/>
    </row>
    <row r="18" spans="2:9" ht="15.75" customHeight="1">
      <c r="B18" s="164"/>
      <c r="C18" s="48"/>
      <c r="D18" s="48"/>
      <c r="E18" s="48"/>
      <c r="G18" s="250" t="s">
        <v>238</v>
      </c>
      <c r="H18" s="250">
        <v>200</v>
      </c>
      <c r="I18" s="166"/>
    </row>
    <row r="19" spans="2:9" ht="15.75" customHeight="1">
      <c r="B19" s="164"/>
      <c r="C19" s="48"/>
      <c r="D19" s="48"/>
      <c r="E19" s="48"/>
      <c r="G19" s="251" t="s">
        <v>133</v>
      </c>
      <c r="H19" s="251" t="s">
        <v>142</v>
      </c>
      <c r="I19" s="166"/>
    </row>
    <row r="20" spans="2:12" ht="15.75" customHeight="1">
      <c r="B20" s="164"/>
      <c r="C20" s="48"/>
      <c r="D20" s="48"/>
      <c r="E20" s="48"/>
      <c r="G20" s="251" t="s">
        <v>226</v>
      </c>
      <c r="H20" s="251" t="s">
        <v>227</v>
      </c>
      <c r="I20" s="166"/>
      <c r="L20" s="116"/>
    </row>
    <row r="21" spans="2:9" ht="15.75" customHeight="1">
      <c r="B21" s="164"/>
      <c r="C21" s="48"/>
      <c r="D21" s="48"/>
      <c r="E21" s="48"/>
      <c r="G21" s="251" t="s">
        <v>134</v>
      </c>
      <c r="H21" s="251">
        <v>200</v>
      </c>
      <c r="I21" s="166"/>
    </row>
    <row r="22" spans="2:21" ht="15.75" customHeight="1">
      <c r="B22" s="164"/>
      <c r="C22" s="48"/>
      <c r="D22" s="48"/>
      <c r="E22" s="48"/>
      <c r="G22" s="251" t="s">
        <v>201</v>
      </c>
      <c r="H22" s="251" t="s">
        <v>143</v>
      </c>
      <c r="I22" s="166"/>
      <c r="R22" s="5"/>
      <c r="S22" s="5"/>
      <c r="T22" s="5"/>
      <c r="U22" s="5"/>
    </row>
    <row r="23" spans="2:28" ht="15.75" customHeight="1">
      <c r="B23" s="164"/>
      <c r="C23" s="48"/>
      <c r="D23" s="48"/>
      <c r="E23" s="48"/>
      <c r="G23" s="250" t="s">
        <v>202</v>
      </c>
      <c r="H23" s="250">
        <v>328</v>
      </c>
      <c r="I23" s="16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5.75" customHeight="1">
      <c r="B24" s="164"/>
      <c r="F24" s="229"/>
      <c r="G24" s="228"/>
      <c r="H24" s="228"/>
      <c r="I24" s="166"/>
      <c r="O24" s="88" t="s">
        <v>111</v>
      </c>
      <c r="P24" s="214"/>
      <c r="Q24" s="19"/>
      <c r="R24" s="79" t="s">
        <v>100</v>
      </c>
      <c r="S24" s="79" t="s">
        <v>101</v>
      </c>
      <c r="T24" s="79" t="s">
        <v>102</v>
      </c>
      <c r="U24" s="80" t="s">
        <v>103</v>
      </c>
      <c r="V24" s="52"/>
      <c r="W24" s="93" t="s">
        <v>104</v>
      </c>
      <c r="X24" s="211"/>
      <c r="Y24" s="211"/>
      <c r="Z24" s="211"/>
      <c r="AA24" s="209"/>
      <c r="AB24" s="207"/>
    </row>
    <row r="25" spans="2:28" ht="16.5" thickBot="1">
      <c r="B25" s="164"/>
      <c r="E25" s="48"/>
      <c r="F25" s="35" t="s">
        <v>2</v>
      </c>
      <c r="G25" s="36" t="s">
        <v>3</v>
      </c>
      <c r="H25" s="231" t="s">
        <v>147</v>
      </c>
      <c r="I25" s="166"/>
      <c r="N25" s="81" t="s">
        <v>109</v>
      </c>
      <c r="O25" s="87">
        <f>H28+273.15</f>
        <v>277.15</v>
      </c>
      <c r="P25" s="215"/>
      <c r="Q25" s="19"/>
      <c r="R25" s="81">
        <v>1</v>
      </c>
      <c r="S25" s="81">
        <v>0</v>
      </c>
      <c r="T25" s="81">
        <v>-2</v>
      </c>
      <c r="U25" s="82">
        <v>0.14632971213167</v>
      </c>
      <c r="V25" s="83"/>
      <c r="W25" s="94">
        <f aca="true" t="shared" si="0" ref="W25:W58">-U25*S25*(7.1-$O$28)^(S25-1)*($O$27-1.222)^T25</f>
        <v>0</v>
      </c>
      <c r="X25" s="212"/>
      <c r="Y25" s="212"/>
      <c r="Z25" s="212"/>
      <c r="AA25" s="210"/>
      <c r="AB25" s="208"/>
    </row>
    <row r="26" spans="2:28" ht="20.25" customHeight="1" thickBot="1">
      <c r="B26" s="164"/>
      <c r="C26" s="401" t="s">
        <v>76</v>
      </c>
      <c r="D26" s="402"/>
      <c r="E26" s="402"/>
      <c r="F26" s="252"/>
      <c r="G26" s="252"/>
      <c r="H26" s="253"/>
      <c r="I26" s="166"/>
      <c r="N26" s="81" t="s">
        <v>108</v>
      </c>
      <c r="O26" s="81">
        <f>H29*0.0980665</f>
        <v>0.6864655</v>
      </c>
      <c r="P26" s="212"/>
      <c r="Q26" s="19"/>
      <c r="R26" s="81">
        <v>2</v>
      </c>
      <c r="S26" s="81">
        <v>0</v>
      </c>
      <c r="T26" s="81">
        <v>-1</v>
      </c>
      <c r="U26" s="82">
        <v>-0.84548187169114</v>
      </c>
      <c r="V26" s="83"/>
      <c r="W26" s="94">
        <f t="shared" si="0"/>
        <v>0</v>
      </c>
      <c r="X26" s="212"/>
      <c r="Y26" s="212"/>
      <c r="Z26" s="212"/>
      <c r="AA26" s="210"/>
      <c r="AB26" s="208"/>
    </row>
    <row r="27" spans="2:28" ht="18" customHeight="1">
      <c r="B27" s="164"/>
      <c r="C27" s="410" t="s">
        <v>88</v>
      </c>
      <c r="D27" s="411"/>
      <c r="E27" s="411"/>
      <c r="F27" s="302" t="s">
        <v>7</v>
      </c>
      <c r="G27" s="303" t="s">
        <v>8</v>
      </c>
      <c r="H27" s="266">
        <v>4</v>
      </c>
      <c r="I27" s="166"/>
      <c r="K27" s="245">
        <f>H59</f>
        <v>0.04455513830403826</v>
      </c>
      <c r="N27" s="92" t="s">
        <v>106</v>
      </c>
      <c r="O27" s="81">
        <f>1386/O25</f>
        <v>5.0009020386072525</v>
      </c>
      <c r="P27" s="212"/>
      <c r="Q27" s="19"/>
      <c r="R27" s="81">
        <v>3</v>
      </c>
      <c r="S27" s="81">
        <v>0</v>
      </c>
      <c r="T27" s="81">
        <v>0</v>
      </c>
      <c r="U27" s="82">
        <v>-3.756360367204</v>
      </c>
      <c r="V27" s="83"/>
      <c r="W27" s="94">
        <f t="shared" si="0"/>
        <v>0</v>
      </c>
      <c r="X27" s="212"/>
      <c r="Y27" s="212"/>
      <c r="Z27" s="212"/>
      <c r="AA27" s="210"/>
      <c r="AB27" s="208"/>
    </row>
    <row r="28" spans="2:28" ht="18" customHeight="1">
      <c r="B28" s="164"/>
      <c r="C28" s="412" t="s">
        <v>89</v>
      </c>
      <c r="D28" s="413"/>
      <c r="E28" s="413"/>
      <c r="F28" s="304" t="s">
        <v>10</v>
      </c>
      <c r="G28" s="305" t="s">
        <v>81</v>
      </c>
      <c r="H28" s="268">
        <v>4</v>
      </c>
      <c r="I28" s="166"/>
      <c r="N28" s="92" t="s">
        <v>107</v>
      </c>
      <c r="O28" s="81">
        <f>O26/16.53</f>
        <v>0.041528463399879</v>
      </c>
      <c r="P28" s="212"/>
      <c r="Q28" s="19"/>
      <c r="R28" s="81">
        <v>4</v>
      </c>
      <c r="S28" s="81">
        <v>0</v>
      </c>
      <c r="T28" s="81">
        <v>1</v>
      </c>
      <c r="U28" s="82">
        <v>3.3855169168385</v>
      </c>
      <c r="V28" s="83"/>
      <c r="W28" s="94">
        <f t="shared" si="0"/>
        <v>0</v>
      </c>
      <c r="X28" s="212"/>
      <c r="Y28" s="212"/>
      <c r="Z28" s="212"/>
      <c r="AA28" s="210"/>
      <c r="AB28" s="208"/>
    </row>
    <row r="29" spans="2:28" ht="18.75" customHeight="1">
      <c r="B29" s="164"/>
      <c r="C29" s="412" t="s">
        <v>12</v>
      </c>
      <c r="D29" s="413"/>
      <c r="E29" s="413"/>
      <c r="F29" s="304" t="s">
        <v>13</v>
      </c>
      <c r="G29" s="306" t="s">
        <v>14</v>
      </c>
      <c r="H29" s="268">
        <v>7</v>
      </c>
      <c r="I29" s="166"/>
      <c r="N29" s="85" t="s">
        <v>110</v>
      </c>
      <c r="O29" s="85">
        <f>O28*W59*U59*O25/O26</f>
        <v>0.9997353269602662</v>
      </c>
      <c r="P29" s="216"/>
      <c r="Q29" s="19"/>
      <c r="R29" s="81">
        <v>5</v>
      </c>
      <c r="S29" s="81">
        <v>0</v>
      </c>
      <c r="T29" s="81">
        <v>2</v>
      </c>
      <c r="U29" s="82">
        <v>-0.95791963387872</v>
      </c>
      <c r="V29" s="83"/>
      <c r="W29" s="94">
        <f t="shared" si="0"/>
        <v>0</v>
      </c>
      <c r="X29" s="212"/>
      <c r="Y29" s="212"/>
      <c r="Z29" s="212"/>
      <c r="AA29" s="210"/>
      <c r="AB29" s="208"/>
    </row>
    <row r="30" spans="2:28" ht="18" customHeight="1">
      <c r="B30" s="164"/>
      <c r="C30" s="403" t="s">
        <v>1</v>
      </c>
      <c r="D30" s="404"/>
      <c r="E30" s="404"/>
      <c r="F30" s="307"/>
      <c r="G30" s="308"/>
      <c r="H30" s="309" t="s">
        <v>124</v>
      </c>
      <c r="I30" s="166"/>
      <c r="N30" s="49"/>
      <c r="O30" s="89">
        <f>1/O29*1000</f>
        <v>1000.2647431100975</v>
      </c>
      <c r="P30" s="217"/>
      <c r="Q30" s="19"/>
      <c r="R30" s="81">
        <v>6</v>
      </c>
      <c r="S30" s="81">
        <v>0</v>
      </c>
      <c r="T30" s="81">
        <v>3</v>
      </c>
      <c r="U30" s="82">
        <v>0.15772038513228</v>
      </c>
      <c r="V30" s="83"/>
      <c r="W30" s="94">
        <f t="shared" si="0"/>
        <v>0</v>
      </c>
      <c r="X30" s="212"/>
      <c r="Y30" s="212"/>
      <c r="Z30" s="212"/>
      <c r="AA30" s="210"/>
      <c r="AB30" s="208"/>
    </row>
    <row r="31" spans="2:28" ht="18" customHeight="1">
      <c r="B31" s="164"/>
      <c r="C31" s="403" t="s">
        <v>17</v>
      </c>
      <c r="D31" s="404"/>
      <c r="E31" s="404"/>
      <c r="F31" s="310"/>
      <c r="G31" s="306"/>
      <c r="H31" s="274" t="s">
        <v>240</v>
      </c>
      <c r="I31" s="166"/>
      <c r="N31" s="19"/>
      <c r="O31" s="19"/>
      <c r="P31" s="19"/>
      <c r="Q31" s="19"/>
      <c r="R31" s="81">
        <v>7</v>
      </c>
      <c r="S31" s="81">
        <v>0</v>
      </c>
      <c r="T31" s="81">
        <v>4</v>
      </c>
      <c r="U31" s="82">
        <v>-0.016616417199501</v>
      </c>
      <c r="V31" s="83"/>
      <c r="W31" s="94">
        <f t="shared" si="0"/>
        <v>0</v>
      </c>
      <c r="X31" s="212"/>
      <c r="Y31" s="212"/>
      <c r="Z31" s="212"/>
      <c r="AA31" s="210"/>
      <c r="AB31" s="208"/>
    </row>
    <row r="32" spans="2:28" ht="18" customHeight="1">
      <c r="B32" s="164"/>
      <c r="C32" s="403" t="s">
        <v>19</v>
      </c>
      <c r="D32" s="404"/>
      <c r="E32" s="404"/>
      <c r="F32" s="310"/>
      <c r="G32" s="306"/>
      <c r="H32" s="274" t="s">
        <v>240</v>
      </c>
      <c r="I32" s="166"/>
      <c r="N32" s="19"/>
      <c r="O32" s="19"/>
      <c r="P32" s="19"/>
      <c r="Q32" s="19"/>
      <c r="R32" s="81">
        <v>8</v>
      </c>
      <c r="S32" s="81">
        <v>0</v>
      </c>
      <c r="T32" s="81">
        <v>5</v>
      </c>
      <c r="U32" s="82">
        <v>0.00081214629983568</v>
      </c>
      <c r="V32" s="83"/>
      <c r="W32" s="94">
        <f t="shared" si="0"/>
        <v>0</v>
      </c>
      <c r="X32" s="212"/>
      <c r="Y32" s="212"/>
      <c r="Z32" s="212"/>
      <c r="AA32" s="210"/>
      <c r="AB32" s="208"/>
    </row>
    <row r="33" spans="2:28" ht="18" customHeight="1">
      <c r="B33" s="164"/>
      <c r="C33" s="412" t="s">
        <v>148</v>
      </c>
      <c r="D33" s="413"/>
      <c r="E33" s="413"/>
      <c r="F33" s="311" t="s">
        <v>21</v>
      </c>
      <c r="G33" s="306" t="s">
        <v>22</v>
      </c>
      <c r="H33" s="274">
        <v>0.5</v>
      </c>
      <c r="I33" s="166"/>
      <c r="N33" s="19"/>
      <c r="O33" s="19"/>
      <c r="P33" s="19"/>
      <c r="Q33" s="19"/>
      <c r="R33" s="81">
        <v>9</v>
      </c>
      <c r="S33" s="81">
        <v>1</v>
      </c>
      <c r="T33" s="81">
        <v>-9</v>
      </c>
      <c r="U33" s="82">
        <v>0.00028319080123804</v>
      </c>
      <c r="V33" s="83"/>
      <c r="W33" s="94">
        <f t="shared" si="0"/>
        <v>-1.8021396359629107E-09</v>
      </c>
      <c r="X33" s="212"/>
      <c r="Y33" s="212"/>
      <c r="Z33" s="212"/>
      <c r="AA33" s="210"/>
      <c r="AB33" s="208"/>
    </row>
    <row r="34" spans="2:28" ht="18.75" customHeight="1" thickBot="1">
      <c r="B34" s="164"/>
      <c r="C34" s="414" t="s">
        <v>29</v>
      </c>
      <c r="D34" s="415"/>
      <c r="E34" s="415"/>
      <c r="F34" s="312" t="s">
        <v>80</v>
      </c>
      <c r="G34" s="313" t="s">
        <v>22</v>
      </c>
      <c r="H34" s="276">
        <v>200</v>
      </c>
      <c r="I34" s="166"/>
      <c r="L34" s="43"/>
      <c r="N34" s="19"/>
      <c r="O34" s="19"/>
      <c r="P34" s="19"/>
      <c r="Q34" s="19"/>
      <c r="R34" s="81">
        <v>10</v>
      </c>
      <c r="S34" s="81">
        <v>1</v>
      </c>
      <c r="T34" s="81">
        <v>-7</v>
      </c>
      <c r="U34" s="82">
        <v>-0.00060706301565874</v>
      </c>
      <c r="V34" s="83"/>
      <c r="W34" s="94">
        <f t="shared" si="0"/>
        <v>5.516636122070427E-08</v>
      </c>
      <c r="X34" s="212"/>
      <c r="Y34" s="212"/>
      <c r="Z34" s="212"/>
      <c r="AA34" s="210"/>
      <c r="AB34" s="208"/>
    </row>
    <row r="35" spans="2:28" ht="16.5" thickBot="1">
      <c r="B35" s="164"/>
      <c r="C35" s="401" t="s">
        <v>78</v>
      </c>
      <c r="D35" s="402"/>
      <c r="E35" s="402"/>
      <c r="F35" s="252"/>
      <c r="G35" s="252"/>
      <c r="H35" s="253"/>
      <c r="I35" s="166"/>
      <c r="L35" s="43"/>
      <c r="N35" s="19"/>
      <c r="O35" s="19"/>
      <c r="P35" s="19"/>
      <c r="Q35" s="19"/>
      <c r="R35" s="81">
        <v>11</v>
      </c>
      <c r="S35" s="81">
        <v>1</v>
      </c>
      <c r="T35" s="81">
        <v>-1</v>
      </c>
      <c r="U35" s="82">
        <v>-0.018990068218419</v>
      </c>
      <c r="V35" s="83"/>
      <c r="W35" s="94">
        <f t="shared" si="0"/>
        <v>0.005025287245979511</v>
      </c>
      <c r="X35" s="212"/>
      <c r="Y35" s="212"/>
      <c r="Z35" s="212"/>
      <c r="AA35" s="210"/>
      <c r="AB35" s="208"/>
    </row>
    <row r="36" spans="2:28" ht="15" customHeight="1">
      <c r="B36" s="164"/>
      <c r="C36" s="406" t="s">
        <v>23</v>
      </c>
      <c r="D36" s="407"/>
      <c r="E36" s="407"/>
      <c r="F36" s="314" t="s">
        <v>73</v>
      </c>
      <c r="G36" s="315" t="s">
        <v>22</v>
      </c>
      <c r="H36" s="277">
        <f>VLOOKUP(H30,DyPFlow,2,FALSE)</f>
        <v>20</v>
      </c>
      <c r="I36" s="166"/>
      <c r="P36" s="19"/>
      <c r="Q36" s="19"/>
      <c r="R36" s="81">
        <v>12</v>
      </c>
      <c r="S36" s="81">
        <v>1</v>
      </c>
      <c r="T36" s="81">
        <v>0</v>
      </c>
      <c r="U36" s="82">
        <v>-0.032529748770505</v>
      </c>
      <c r="V36" s="83"/>
      <c r="W36" s="94">
        <f t="shared" si="0"/>
        <v>0.032529748770505</v>
      </c>
      <c r="X36" s="212"/>
      <c r="Y36" s="212"/>
      <c r="Z36" s="212"/>
      <c r="AA36" s="210"/>
      <c r="AB36" s="208"/>
    </row>
    <row r="37" spans="2:28" ht="15" customHeight="1">
      <c r="B37" s="164"/>
      <c r="C37" s="381" t="s">
        <v>25</v>
      </c>
      <c r="D37" s="382"/>
      <c r="E37" s="382"/>
      <c r="F37" s="316" t="s">
        <v>74</v>
      </c>
      <c r="G37" s="317" t="s">
        <v>22</v>
      </c>
      <c r="H37" s="278">
        <f>VLOOKUP(H31,ParamKM,5,FALSE)</f>
        <v>25</v>
      </c>
      <c r="I37" s="166"/>
      <c r="K37" s="5"/>
      <c r="L37" s="2"/>
      <c r="M37" s="5"/>
      <c r="N37" s="29"/>
      <c r="O37" s="29"/>
      <c r="P37" s="29"/>
      <c r="Q37" s="29"/>
      <c r="R37" s="81">
        <v>13</v>
      </c>
      <c r="S37" s="81">
        <v>1</v>
      </c>
      <c r="T37" s="81">
        <v>1</v>
      </c>
      <c r="U37" s="82">
        <v>-0.021841717175414</v>
      </c>
      <c r="V37" s="83"/>
      <c r="W37" s="94">
        <f t="shared" si="0"/>
        <v>0.082537709560855</v>
      </c>
      <c r="X37" s="212"/>
      <c r="Y37" s="212"/>
      <c r="Z37" s="212"/>
      <c r="AA37" s="210"/>
      <c r="AB37" s="208"/>
    </row>
    <row r="38" spans="2:28" ht="15" customHeight="1">
      <c r="B38" s="164"/>
      <c r="C38" s="381" t="s">
        <v>27</v>
      </c>
      <c r="D38" s="382"/>
      <c r="E38" s="382"/>
      <c r="F38" s="316" t="s">
        <v>75</v>
      </c>
      <c r="G38" s="317" t="s">
        <v>22</v>
      </c>
      <c r="H38" s="279">
        <f>VLOOKUP(H32,ParamKM,5,FALSE)</f>
        <v>25</v>
      </c>
      <c r="I38" s="166"/>
      <c r="K38" s="5"/>
      <c r="L38" s="2"/>
      <c r="M38" s="5"/>
      <c r="N38" s="29"/>
      <c r="O38" s="29"/>
      <c r="P38" s="29"/>
      <c r="Q38" s="29"/>
      <c r="R38" s="81">
        <v>14</v>
      </c>
      <c r="S38" s="81">
        <v>1</v>
      </c>
      <c r="T38" s="81">
        <v>3</v>
      </c>
      <c r="U38" s="82">
        <v>-5.283835796993E-05</v>
      </c>
      <c r="V38" s="83"/>
      <c r="W38" s="94">
        <f t="shared" si="0"/>
        <v>0.0028513216654837198</v>
      </c>
      <c r="X38" s="212"/>
      <c r="Y38" s="212"/>
      <c r="Z38" s="212"/>
      <c r="AA38" s="210"/>
      <c r="AB38" s="208"/>
    </row>
    <row r="39" spans="2:28" ht="15.75">
      <c r="B39" s="164"/>
      <c r="C39" s="381" t="s">
        <v>32</v>
      </c>
      <c r="D39" s="382"/>
      <c r="E39" s="382"/>
      <c r="F39" s="318" t="s">
        <v>82</v>
      </c>
      <c r="G39" s="317" t="s">
        <v>33</v>
      </c>
      <c r="H39" s="280">
        <f>VLOOKUP(H31,ParamKM,4,FALSE)</f>
        <v>5.6127405035765</v>
      </c>
      <c r="I39" s="166"/>
      <c r="K39" s="5"/>
      <c r="L39" s="201"/>
      <c r="M39" s="201"/>
      <c r="N39" s="201"/>
      <c r="O39" s="201"/>
      <c r="P39" s="201"/>
      <c r="Q39" s="29"/>
      <c r="R39" s="81">
        <v>15</v>
      </c>
      <c r="S39" s="81">
        <v>2</v>
      </c>
      <c r="T39" s="81">
        <v>-3</v>
      </c>
      <c r="U39" s="82">
        <v>-0.00047184321073267</v>
      </c>
      <c r="V39" s="83"/>
      <c r="W39" s="94">
        <f t="shared" si="0"/>
        <v>0.00012343589565193706</v>
      </c>
      <c r="X39" s="212"/>
      <c r="Y39" s="212"/>
      <c r="Z39" s="212"/>
      <c r="AA39" s="210"/>
      <c r="AB39" s="208"/>
    </row>
    <row r="40" spans="2:28" ht="16.5" thickBot="1">
      <c r="B40" s="164"/>
      <c r="C40" s="397" t="s">
        <v>35</v>
      </c>
      <c r="D40" s="398"/>
      <c r="E40" s="398"/>
      <c r="F40" s="319" t="s">
        <v>83</v>
      </c>
      <c r="G40" s="320" t="s">
        <v>33</v>
      </c>
      <c r="H40" s="282">
        <f>VLOOKUP(H32,ParamKM,4,FALSE)</f>
        <v>5.6127405035765</v>
      </c>
      <c r="I40" s="166"/>
      <c r="K40" s="5"/>
      <c r="L40" s="204"/>
      <c r="M40" s="204"/>
      <c r="N40" s="204"/>
      <c r="O40" s="204"/>
      <c r="P40" s="204"/>
      <c r="Q40" s="29"/>
      <c r="R40" s="81">
        <v>16</v>
      </c>
      <c r="S40" s="81">
        <v>2</v>
      </c>
      <c r="T40" s="81">
        <v>0</v>
      </c>
      <c r="U40" s="82">
        <v>-0.00030001780793026</v>
      </c>
      <c r="V40" s="83"/>
      <c r="W40" s="94">
        <f t="shared" si="0"/>
        <v>0.004235334315497804</v>
      </c>
      <c r="X40" s="212"/>
      <c r="Y40" s="212"/>
      <c r="Z40" s="212"/>
      <c r="AA40" s="210"/>
      <c r="AB40" s="208"/>
    </row>
    <row r="41" spans="2:28" ht="15.75" thickBot="1">
      <c r="B41" s="164"/>
      <c r="C41" s="389" t="s">
        <v>115</v>
      </c>
      <c r="D41" s="390"/>
      <c r="E41" s="390"/>
      <c r="F41" s="256"/>
      <c r="G41" s="256"/>
      <c r="H41" s="257"/>
      <c r="I41" s="166"/>
      <c r="K41" s="5"/>
      <c r="L41" s="202"/>
      <c r="M41" s="203"/>
      <c r="N41" s="203"/>
      <c r="O41" s="203"/>
      <c r="P41" s="203"/>
      <c r="Q41" s="29"/>
      <c r="R41" s="81">
        <v>17</v>
      </c>
      <c r="S41" s="81">
        <v>2</v>
      </c>
      <c r="T41" s="81">
        <v>1</v>
      </c>
      <c r="U41" s="82">
        <v>4.7661393906987E-05</v>
      </c>
      <c r="V41" s="83"/>
      <c r="W41" s="94">
        <f t="shared" si="0"/>
        <v>-0.0025425706928304636</v>
      </c>
      <c r="X41" s="212"/>
      <c r="Y41" s="212"/>
      <c r="Z41" s="212"/>
      <c r="AA41" s="210"/>
      <c r="AB41" s="208"/>
    </row>
    <row r="42" spans="2:28" ht="15.75">
      <c r="B42" s="164"/>
      <c r="C42" s="406" t="s">
        <v>91</v>
      </c>
      <c r="D42" s="407"/>
      <c r="E42" s="407"/>
      <c r="F42" s="321" t="s">
        <v>37</v>
      </c>
      <c r="G42" s="308" t="s">
        <v>38</v>
      </c>
      <c r="H42" s="284">
        <f>1/O29*1000</f>
        <v>1000.2647431100975</v>
      </c>
      <c r="I42" s="166"/>
      <c r="K42" s="5"/>
      <c r="L42" s="202"/>
      <c r="M42" s="203"/>
      <c r="N42" s="203"/>
      <c r="O42" s="203"/>
      <c r="P42" s="203"/>
      <c r="Q42" s="29"/>
      <c r="R42" s="81">
        <v>18</v>
      </c>
      <c r="S42" s="81">
        <v>2</v>
      </c>
      <c r="T42" s="81">
        <v>3</v>
      </c>
      <c r="U42" s="82">
        <v>-4.4141845330846E-06</v>
      </c>
      <c r="V42" s="83"/>
      <c r="W42" s="94">
        <f t="shared" si="0"/>
        <v>0.0033626994228277674</v>
      </c>
      <c r="X42" s="212"/>
      <c r="Y42" s="212"/>
      <c r="Z42" s="212"/>
      <c r="AA42" s="210"/>
      <c r="AB42" s="208"/>
    </row>
    <row r="43" spans="2:28" ht="15">
      <c r="B43" s="164"/>
      <c r="C43" s="381" t="s">
        <v>40</v>
      </c>
      <c r="D43" s="382"/>
      <c r="E43" s="382"/>
      <c r="F43" s="304" t="s">
        <v>41</v>
      </c>
      <c r="G43" s="306" t="s">
        <v>42</v>
      </c>
      <c r="H43" s="286">
        <f>H27*1000/H42</f>
        <v>3.998941307841065</v>
      </c>
      <c r="I43" s="166"/>
      <c r="K43" s="5"/>
      <c r="L43" s="202"/>
      <c r="M43" s="203"/>
      <c r="N43" s="203"/>
      <c r="O43" s="203"/>
      <c r="P43" s="203"/>
      <c r="Q43" s="29"/>
      <c r="R43" s="81">
        <v>19</v>
      </c>
      <c r="S43" s="81">
        <v>2</v>
      </c>
      <c r="T43" s="81">
        <v>17</v>
      </c>
      <c r="U43" s="82">
        <v>-7.2694996297594E-16</v>
      </c>
      <c r="V43" s="83"/>
      <c r="W43" s="94">
        <f t="shared" si="0"/>
        <v>6.705959956676144E-05</v>
      </c>
      <c r="X43" s="212"/>
      <c r="Y43" s="212"/>
      <c r="Z43" s="212"/>
      <c r="AA43" s="210"/>
      <c r="AB43" s="208"/>
    </row>
    <row r="44" spans="2:28" ht="15">
      <c r="B44" s="164"/>
      <c r="C44" s="381" t="s">
        <v>44</v>
      </c>
      <c r="D44" s="382"/>
      <c r="E44" s="382"/>
      <c r="F44" s="316" t="s">
        <v>45</v>
      </c>
      <c r="G44" s="317" t="s">
        <v>46</v>
      </c>
      <c r="H44" s="286">
        <f>(H43/3.6)/((PI()*H36^2)/4000)</f>
        <v>3.535840423762634</v>
      </c>
      <c r="I44" s="166"/>
      <c r="K44" s="5"/>
      <c r="L44" s="202"/>
      <c r="M44" s="203"/>
      <c r="N44" s="203"/>
      <c r="O44" s="203"/>
      <c r="P44" s="203"/>
      <c r="Q44" s="29"/>
      <c r="R44" s="81">
        <v>20</v>
      </c>
      <c r="S44" s="81">
        <v>3</v>
      </c>
      <c r="T44" s="81">
        <v>-4</v>
      </c>
      <c r="U44" s="82">
        <v>-3.1679644845054E-05</v>
      </c>
      <c r="V44" s="83"/>
      <c r="W44" s="94">
        <f t="shared" si="0"/>
        <v>2.3219900767368466E-05</v>
      </c>
      <c r="X44" s="212"/>
      <c r="Y44" s="212"/>
      <c r="Z44" s="212"/>
      <c r="AA44" s="210"/>
      <c r="AB44" s="208"/>
    </row>
    <row r="45" spans="2:28" ht="15">
      <c r="B45" s="164"/>
      <c r="C45" s="381" t="s">
        <v>48</v>
      </c>
      <c r="D45" s="382"/>
      <c r="E45" s="382"/>
      <c r="F45" s="316" t="s">
        <v>49</v>
      </c>
      <c r="G45" s="317" t="s">
        <v>46</v>
      </c>
      <c r="H45" s="286">
        <f>(H43/3.6)/((PI()*H37^2)/4000)</f>
        <v>2.262937871208086</v>
      </c>
      <c r="I45" s="166"/>
      <c r="K45" s="5"/>
      <c r="L45" s="202"/>
      <c r="M45" s="203"/>
      <c r="N45" s="203"/>
      <c r="O45" s="203"/>
      <c r="P45" s="203"/>
      <c r="Q45" s="29"/>
      <c r="R45" s="81">
        <v>21</v>
      </c>
      <c r="S45" s="81">
        <v>3</v>
      </c>
      <c r="T45" s="81">
        <v>0</v>
      </c>
      <c r="U45" s="82">
        <v>-2.8270797985312E-06</v>
      </c>
      <c r="V45" s="83"/>
      <c r="W45" s="94">
        <f t="shared" si="0"/>
        <v>0.00042255248246437864</v>
      </c>
      <c r="X45" s="212"/>
      <c r="Y45" s="212"/>
      <c r="Z45" s="212"/>
      <c r="AA45" s="210"/>
      <c r="AB45" s="208"/>
    </row>
    <row r="46" spans="2:28" ht="15.75" thickBot="1">
      <c r="B46" s="164"/>
      <c r="C46" s="397" t="s">
        <v>51</v>
      </c>
      <c r="D46" s="398"/>
      <c r="E46" s="398"/>
      <c r="F46" s="316" t="s">
        <v>52</v>
      </c>
      <c r="G46" s="317" t="s">
        <v>46</v>
      </c>
      <c r="H46" s="286">
        <f>(H43/3.6)/((PI()*H38^2)/4000)</f>
        <v>2.262937871208086</v>
      </c>
      <c r="I46" s="166"/>
      <c r="K46" s="5"/>
      <c r="L46" s="193"/>
      <c r="M46" s="193"/>
      <c r="N46" s="193"/>
      <c r="O46" s="193"/>
      <c r="P46" s="193"/>
      <c r="Q46" s="29"/>
      <c r="R46" s="81">
        <v>22</v>
      </c>
      <c r="S46" s="81">
        <v>3</v>
      </c>
      <c r="T46" s="81">
        <v>6</v>
      </c>
      <c r="U46" s="82">
        <v>-8.5205128120103E-10</v>
      </c>
      <c r="V46" s="83"/>
      <c r="W46" s="94">
        <f t="shared" si="0"/>
        <v>0.00037085328173208307</v>
      </c>
      <c r="X46" s="212"/>
      <c r="Y46" s="212"/>
      <c r="Z46" s="212"/>
      <c r="AA46" s="210"/>
      <c r="AB46" s="208"/>
    </row>
    <row r="47" spans="2:28" ht="15.75" thickBot="1">
      <c r="B47" s="164"/>
      <c r="C47" s="391" t="s">
        <v>146</v>
      </c>
      <c r="D47" s="392"/>
      <c r="E47" s="392"/>
      <c r="F47" s="254"/>
      <c r="G47" s="254"/>
      <c r="H47" s="255"/>
      <c r="I47" s="166"/>
      <c r="K47" s="5"/>
      <c r="L47" s="193"/>
      <c r="M47" s="193"/>
      <c r="N47" s="193"/>
      <c r="O47" s="193"/>
      <c r="P47" s="193"/>
      <c r="Q47" s="29"/>
      <c r="R47" s="81">
        <v>23</v>
      </c>
      <c r="S47" s="81">
        <v>4</v>
      </c>
      <c r="T47" s="81">
        <v>-5</v>
      </c>
      <c r="U47" s="82">
        <v>-2.2425281908E-06</v>
      </c>
      <c r="V47" s="83"/>
      <c r="W47" s="94">
        <f t="shared" si="0"/>
        <v>4.093565437176708E-06</v>
      </c>
      <c r="X47" s="212"/>
      <c r="Y47" s="212"/>
      <c r="Z47" s="212"/>
      <c r="AA47" s="210"/>
      <c r="AB47" s="208"/>
    </row>
    <row r="48" spans="2:28" ht="15">
      <c r="B48" s="164"/>
      <c r="C48" s="393" t="s">
        <v>61</v>
      </c>
      <c r="D48" s="394"/>
      <c r="E48" s="394"/>
      <c r="F48" s="14"/>
      <c r="G48" s="15"/>
      <c r="H48" s="95"/>
      <c r="I48" s="167"/>
      <c r="J48" s="37"/>
      <c r="K48" s="5"/>
      <c r="L48" s="193"/>
      <c r="M48" s="205"/>
      <c r="N48" s="193"/>
      <c r="O48" s="193"/>
      <c r="P48" s="193"/>
      <c r="Q48" s="29"/>
      <c r="R48" s="81">
        <v>24</v>
      </c>
      <c r="S48" s="81">
        <v>4</v>
      </c>
      <c r="T48" s="81">
        <v>-2</v>
      </c>
      <c r="U48" s="82">
        <v>-6.5171222895601E-07</v>
      </c>
      <c r="V48" s="83"/>
      <c r="W48" s="94">
        <f t="shared" si="0"/>
        <v>6.41972755308854E-05</v>
      </c>
      <c r="X48" s="212"/>
      <c r="Y48" s="212"/>
      <c r="Z48" s="212"/>
      <c r="AA48" s="210"/>
      <c r="AB48" s="208"/>
    </row>
    <row r="49" spans="2:29" ht="19.5">
      <c r="B49" s="164"/>
      <c r="C49" s="381" t="s">
        <v>63</v>
      </c>
      <c r="D49" s="382"/>
      <c r="E49" s="382"/>
      <c r="F49" s="301" t="s">
        <v>85</v>
      </c>
      <c r="G49" s="317"/>
      <c r="H49" s="286">
        <f>IF(H39=0,0,(H52/(8*SIN(RADIANS(H39/2))))*(1-(H36/H37)^4))</f>
        <v>0.07987374872010888</v>
      </c>
      <c r="I49" s="167"/>
      <c r="J49" s="2"/>
      <c r="K49" s="206"/>
      <c r="L49" s="193"/>
      <c r="M49" s="198"/>
      <c r="N49" s="195"/>
      <c r="O49" s="195"/>
      <c r="P49" s="195"/>
      <c r="Q49" s="26"/>
      <c r="R49" s="81">
        <v>25</v>
      </c>
      <c r="S49" s="81">
        <v>4</v>
      </c>
      <c r="T49" s="81">
        <v>10</v>
      </c>
      <c r="U49" s="82">
        <v>-1.4341729937924E-13</v>
      </c>
      <c r="V49" s="83"/>
      <c r="W49" s="94">
        <f t="shared" si="0"/>
        <v>0.0001197980840214515</v>
      </c>
      <c r="X49" s="212"/>
      <c r="Y49" s="212"/>
      <c r="Z49" s="212"/>
      <c r="AA49" s="5"/>
      <c r="AB49" s="5"/>
      <c r="AC49" s="2"/>
    </row>
    <row r="50" spans="2:29" ht="19.5">
      <c r="B50" s="164"/>
      <c r="C50" s="381" t="s">
        <v>65</v>
      </c>
      <c r="D50" s="382"/>
      <c r="E50" s="382"/>
      <c r="F50" s="316" t="s">
        <v>121</v>
      </c>
      <c r="G50" s="317" t="s">
        <v>66</v>
      </c>
      <c r="H50" s="288">
        <f>H49*H44^2/(2*9.81)</f>
        <v>0.05089678825364596</v>
      </c>
      <c r="I50" s="168"/>
      <c r="J50" s="3"/>
      <c r="K50" s="155"/>
      <c r="L50" s="192"/>
      <c r="M50" s="192"/>
      <c r="N50" s="196"/>
      <c r="O50" s="196"/>
      <c r="P50" s="196"/>
      <c r="Q50" s="27"/>
      <c r="R50" s="81">
        <v>26</v>
      </c>
      <c r="S50" s="81">
        <v>5</v>
      </c>
      <c r="T50" s="81">
        <v>-8</v>
      </c>
      <c r="U50" s="82">
        <v>-4.0516996860117E-07</v>
      </c>
      <c r="V50" s="83"/>
      <c r="W50" s="94">
        <f t="shared" si="0"/>
        <v>1.209274383560746E-07</v>
      </c>
      <c r="X50" s="212"/>
      <c r="Y50" s="212"/>
      <c r="Z50" s="212"/>
      <c r="AA50" s="5"/>
      <c r="AB50" s="5"/>
      <c r="AC50" s="3"/>
    </row>
    <row r="51" spans="2:29" ht="15.75">
      <c r="B51" s="164"/>
      <c r="C51" s="383" t="s">
        <v>140</v>
      </c>
      <c r="D51" s="384"/>
      <c r="E51" s="384"/>
      <c r="F51" s="322"/>
      <c r="G51" s="323"/>
      <c r="H51" s="290"/>
      <c r="I51" s="169"/>
      <c r="J51" s="4"/>
      <c r="K51" s="155"/>
      <c r="L51" s="199"/>
      <c r="M51" s="192"/>
      <c r="N51" s="194"/>
      <c r="O51" s="194"/>
      <c r="P51" s="194"/>
      <c r="Q51" s="28"/>
      <c r="R51" s="81">
        <v>27</v>
      </c>
      <c r="S51" s="81">
        <v>8</v>
      </c>
      <c r="T51" s="81">
        <v>-11</v>
      </c>
      <c r="U51" s="82">
        <v>-1.2734301741641E-09</v>
      </c>
      <c r="V51" s="83"/>
      <c r="W51" s="94">
        <f t="shared" si="0"/>
        <v>3.962943005752236E-09</v>
      </c>
      <c r="X51" s="212"/>
      <c r="Y51" s="212"/>
      <c r="Z51" s="212"/>
      <c r="AA51" s="5"/>
      <c r="AB51" s="5"/>
      <c r="AC51" s="4"/>
    </row>
    <row r="52" spans="2:29" ht="15.75">
      <c r="B52" s="164"/>
      <c r="C52" s="385" t="s">
        <v>90</v>
      </c>
      <c r="D52" s="386"/>
      <c r="E52" s="386"/>
      <c r="F52" s="318" t="s">
        <v>68</v>
      </c>
      <c r="G52" s="317"/>
      <c r="H52" s="286">
        <f>1/(1.14+2*LOG((H36/H33),10))^2</f>
        <v>0.05299029978348444</v>
      </c>
      <c r="I52" s="169"/>
      <c r="J52" s="4"/>
      <c r="K52" s="155"/>
      <c r="L52" s="190"/>
      <c r="M52" s="192"/>
      <c r="N52" s="194"/>
      <c r="O52" s="194"/>
      <c r="P52" s="194"/>
      <c r="Q52" s="28"/>
      <c r="R52" s="81">
        <v>28</v>
      </c>
      <c r="S52" s="81">
        <v>8</v>
      </c>
      <c r="T52" s="81">
        <v>-6</v>
      </c>
      <c r="U52" s="82">
        <v>-1.7424871230634E-10</v>
      </c>
      <c r="V52" s="83"/>
      <c r="W52" s="94">
        <f t="shared" si="0"/>
        <v>4.178692716927848E-07</v>
      </c>
      <c r="X52" s="212"/>
      <c r="Y52" s="212"/>
      <c r="Z52" s="212"/>
      <c r="AA52" s="5"/>
      <c r="AC52" s="4"/>
    </row>
    <row r="53" spans="2:29" ht="19.5">
      <c r="B53" s="164"/>
      <c r="C53" s="381" t="s">
        <v>145</v>
      </c>
      <c r="D53" s="382"/>
      <c r="E53" s="382"/>
      <c r="F53" s="316" t="s">
        <v>208</v>
      </c>
      <c r="G53" s="317" t="s">
        <v>66</v>
      </c>
      <c r="H53" s="288">
        <f>$H$52*H34*H44^2/($H$36*2*9.81)+IF(F68="L",F69,0)*10</f>
        <v>0.33766238730425674</v>
      </c>
      <c r="I53" s="167"/>
      <c r="J53" s="2"/>
      <c r="K53" s="155"/>
      <c r="L53" s="191"/>
      <c r="M53" s="192"/>
      <c r="N53" s="193"/>
      <c r="O53" s="193"/>
      <c r="P53" s="193"/>
      <c r="Q53" s="29"/>
      <c r="R53" s="81">
        <v>29</v>
      </c>
      <c r="S53" s="81">
        <v>21</v>
      </c>
      <c r="T53" s="81">
        <v>-29</v>
      </c>
      <c r="U53" s="82">
        <v>-6.8762131295531E-19</v>
      </c>
      <c r="V53" s="83"/>
      <c r="W53" s="94">
        <f t="shared" si="0"/>
        <v>2.4557186050730786E-17</v>
      </c>
      <c r="X53" s="212"/>
      <c r="Y53" s="212"/>
      <c r="Z53" s="212"/>
      <c r="AA53" s="5"/>
      <c r="AC53" s="5"/>
    </row>
    <row r="54" spans="2:29" ht="15">
      <c r="B54" s="164"/>
      <c r="C54" s="395" t="s">
        <v>69</v>
      </c>
      <c r="D54" s="396"/>
      <c r="E54" s="396"/>
      <c r="F54" s="324"/>
      <c r="G54" s="298"/>
      <c r="H54" s="292"/>
      <c r="I54" s="166"/>
      <c r="K54" s="155"/>
      <c r="L54" s="191"/>
      <c r="M54" s="192"/>
      <c r="N54" s="193"/>
      <c r="O54" s="193"/>
      <c r="P54" s="193"/>
      <c r="Q54" s="29"/>
      <c r="R54" s="81">
        <v>30</v>
      </c>
      <c r="S54" s="81">
        <v>23</v>
      </c>
      <c r="T54" s="81">
        <v>-31</v>
      </c>
      <c r="U54" s="82">
        <v>1.4478307828521E-20</v>
      </c>
      <c r="V54" s="83"/>
      <c r="W54" s="94">
        <f t="shared" si="0"/>
        <v>-1.975812308940391E-18</v>
      </c>
      <c r="X54" s="212"/>
      <c r="Y54" s="212"/>
      <c r="Z54" s="212"/>
      <c r="AA54" s="213"/>
      <c r="AB54" s="20"/>
      <c r="AC54" s="5"/>
    </row>
    <row r="55" spans="2:29" ht="19.5">
      <c r="B55" s="164"/>
      <c r="C55" s="381" t="s">
        <v>86</v>
      </c>
      <c r="D55" s="382"/>
      <c r="E55" s="382"/>
      <c r="F55" s="301" t="s">
        <v>84</v>
      </c>
      <c r="G55" s="317"/>
      <c r="H55" s="294">
        <f>3.2*TAN(RADIANS($H$40/2))^1.25*(1-($H$36/H38)^2)^2</f>
        <v>0.009565711325463218</v>
      </c>
      <c r="I55" s="166"/>
      <c r="K55" s="155"/>
      <c r="L55" s="191"/>
      <c r="M55" s="192"/>
      <c r="N55" s="193"/>
      <c r="O55" s="193"/>
      <c r="P55" s="193"/>
      <c r="Q55" s="29"/>
      <c r="R55" s="81">
        <v>31</v>
      </c>
      <c r="S55" s="81">
        <v>29</v>
      </c>
      <c r="T55" s="81">
        <v>-38</v>
      </c>
      <c r="U55" s="82">
        <v>2.6335781662795E-23</v>
      </c>
      <c r="V55" s="83"/>
      <c r="W55" s="94">
        <f t="shared" si="0"/>
        <v>-5.092708586643816E-20</v>
      </c>
      <c r="X55" s="212"/>
      <c r="Y55" s="212"/>
      <c r="Z55" s="212"/>
      <c r="AA55" s="213"/>
      <c r="AB55" s="20"/>
      <c r="AC55" s="5"/>
    </row>
    <row r="56" spans="2:29" ht="19.5">
      <c r="B56" s="164"/>
      <c r="C56" s="381" t="s">
        <v>92</v>
      </c>
      <c r="D56" s="382"/>
      <c r="E56" s="382"/>
      <c r="F56" s="301" t="s">
        <v>85</v>
      </c>
      <c r="G56" s="306"/>
      <c r="H56" s="286">
        <f>IF(H40=0,0,H52/(8*SIN(RADIANS(H40/2)))*(1-(H36/H38)^4))</f>
        <v>0.07987374872010888</v>
      </c>
      <c r="I56" s="166"/>
      <c r="K56" s="155"/>
      <c r="L56" s="192"/>
      <c r="M56" s="192"/>
      <c r="N56" s="193"/>
      <c r="O56" s="193"/>
      <c r="P56" s="193"/>
      <c r="Q56" s="29"/>
      <c r="R56" s="81">
        <v>32</v>
      </c>
      <c r="S56" s="81">
        <v>30</v>
      </c>
      <c r="T56" s="81">
        <v>-39</v>
      </c>
      <c r="U56" s="82">
        <v>-1.1947622640071E-23</v>
      </c>
      <c r="V56" s="83"/>
      <c r="W56" s="94">
        <f t="shared" si="0"/>
        <v>4.4642900227567373E-20</v>
      </c>
      <c r="X56" s="212"/>
      <c r="Y56" s="212"/>
      <c r="Z56" s="212"/>
      <c r="AA56" s="5"/>
      <c r="AC56" s="5"/>
    </row>
    <row r="57" spans="2:29" ht="19.5">
      <c r="B57" s="164"/>
      <c r="C57" s="399" t="s">
        <v>70</v>
      </c>
      <c r="D57" s="400"/>
      <c r="E57" s="400"/>
      <c r="F57" s="300" t="s">
        <v>122</v>
      </c>
      <c r="G57" s="299" t="s">
        <v>66</v>
      </c>
      <c r="H57" s="288">
        <f>(H55+$H$56)*H44^2/(2*9.81)</f>
        <v>0.05699220748247993</v>
      </c>
      <c r="I57" s="170"/>
      <c r="J57" s="6"/>
      <c r="K57" s="155"/>
      <c r="L57" s="192"/>
      <c r="M57" s="192"/>
      <c r="N57" s="197"/>
      <c r="O57" s="197"/>
      <c r="P57" s="197"/>
      <c r="Q57" s="30"/>
      <c r="R57" s="81">
        <v>33</v>
      </c>
      <c r="S57" s="81">
        <v>31</v>
      </c>
      <c r="T57" s="81">
        <v>-40</v>
      </c>
      <c r="U57" s="82">
        <v>1.8228094581404E-24</v>
      </c>
      <c r="V57" s="83"/>
      <c r="W57" s="94">
        <f t="shared" si="0"/>
        <v>-1.3146121751351471E-20</v>
      </c>
      <c r="X57" s="212"/>
      <c r="Y57" s="212"/>
      <c r="Z57" s="212"/>
      <c r="AA57" s="5"/>
      <c r="AC57" s="6"/>
    </row>
    <row r="58" spans="2:39" ht="16.5" thickBot="1">
      <c r="B58" s="164"/>
      <c r="C58" s="387" t="s">
        <v>71</v>
      </c>
      <c r="D58" s="388"/>
      <c r="E58" s="388"/>
      <c r="F58" s="325"/>
      <c r="G58" s="326" t="s">
        <v>72</v>
      </c>
      <c r="H58" s="288">
        <f>H57+H53+H50</f>
        <v>0.4455513830403826</v>
      </c>
      <c r="I58" s="166"/>
      <c r="K58" s="155"/>
      <c r="M58" s="192"/>
      <c r="N58" s="193"/>
      <c r="O58" s="193"/>
      <c r="P58" s="193"/>
      <c r="Q58" s="29"/>
      <c r="R58" s="81">
        <v>34</v>
      </c>
      <c r="S58" s="81">
        <v>32</v>
      </c>
      <c r="T58" s="81">
        <v>-41</v>
      </c>
      <c r="U58" s="82">
        <v>-9.3537087292458E-26</v>
      </c>
      <c r="V58" s="83"/>
      <c r="W58" s="94">
        <f t="shared" si="0"/>
        <v>1.300689209283585E-21</v>
      </c>
      <c r="X58" s="212"/>
      <c r="Y58" s="212"/>
      <c r="Z58" s="212"/>
      <c r="AA58" s="5"/>
      <c r="AC58" s="5"/>
      <c r="AM58" s="5"/>
    </row>
    <row r="59" spans="2:39" ht="16.5" thickBot="1">
      <c r="B59" s="164"/>
      <c r="E59" s="48"/>
      <c r="F59" s="327"/>
      <c r="G59" s="326" t="s">
        <v>14</v>
      </c>
      <c r="H59" s="296">
        <f>H58/10</f>
        <v>0.04455513830403826</v>
      </c>
      <c r="I59" s="166"/>
      <c r="K59" s="155"/>
      <c r="L59" s="192"/>
      <c r="M59" s="192"/>
      <c r="N59" s="193"/>
      <c r="O59" s="193"/>
      <c r="P59" s="193"/>
      <c r="Q59" s="29"/>
      <c r="R59" s="83"/>
      <c r="S59" s="83"/>
      <c r="T59" s="84" t="s">
        <v>105</v>
      </c>
      <c r="U59">
        <v>0.461526</v>
      </c>
      <c r="V59" s="83"/>
      <c r="W59" s="86">
        <f>SUM(W33:W58)</f>
        <v>0.12919533649736503</v>
      </c>
      <c r="X59" s="212"/>
      <c r="Y59" s="212"/>
      <c r="Z59" s="212"/>
      <c r="AA59" s="5"/>
      <c r="AC59" s="5"/>
      <c r="AM59" s="5"/>
    </row>
    <row r="60" spans="2:39" ht="15">
      <c r="B60" s="164"/>
      <c r="C60" s="48"/>
      <c r="D60" s="48"/>
      <c r="E60" s="48"/>
      <c r="F60" s="48"/>
      <c r="G60" s="48"/>
      <c r="H60" s="48"/>
      <c r="I60" s="166"/>
      <c r="K60" s="155"/>
      <c r="L60" s="190"/>
      <c r="M60" s="190"/>
      <c r="N60" s="193"/>
      <c r="O60" s="193"/>
      <c r="P60" s="193"/>
      <c r="Q60" s="29"/>
      <c r="R60" s="5"/>
      <c r="S60" s="5"/>
      <c r="T60" s="5"/>
      <c r="U60" s="5"/>
      <c r="V60" s="33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ht="15">
      <c r="B61" s="164"/>
      <c r="C61" s="48"/>
      <c r="D61" s="48"/>
      <c r="E61" s="48"/>
      <c r="F61" s="48"/>
      <c r="G61" s="48"/>
      <c r="H61" s="48"/>
      <c r="I61" s="166"/>
      <c r="K61" s="155"/>
      <c r="L61" s="198"/>
      <c r="M61" s="198"/>
      <c r="N61" s="193"/>
      <c r="O61" s="193"/>
      <c r="P61" s="193"/>
      <c r="Q61" s="29"/>
      <c r="R61" s="5"/>
      <c r="S61" s="5"/>
      <c r="T61" s="5"/>
      <c r="U61" s="5"/>
      <c r="V61" s="33"/>
      <c r="W61" s="20"/>
      <c r="X61" s="20"/>
      <c r="Y61" s="20"/>
      <c r="Z61" s="20"/>
      <c r="AA61" s="20"/>
      <c r="AB61" s="2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ht="15">
      <c r="B62" s="164"/>
      <c r="C62" s="90" t="s">
        <v>77</v>
      </c>
      <c r="D62" s="38"/>
      <c r="E62" s="38"/>
      <c r="F62" s="38"/>
      <c r="G62" s="38"/>
      <c r="H62" s="38"/>
      <c r="I62" s="166"/>
      <c r="K62" s="155"/>
      <c r="L62" s="193"/>
      <c r="M62" s="194"/>
      <c r="N62" s="194"/>
      <c r="O62" s="193"/>
      <c r="P62" s="193"/>
      <c r="Q62" s="5"/>
      <c r="R62" s="5"/>
      <c r="S62" s="5"/>
      <c r="T62" s="5"/>
      <c r="U62" s="5"/>
      <c r="V62" s="33"/>
      <c r="W62" s="20"/>
      <c r="X62" s="20"/>
      <c r="Y62" s="20"/>
      <c r="Z62" s="20"/>
      <c r="AA62" s="20"/>
      <c r="AB62" s="2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">
      <c r="A63" s="19"/>
      <c r="B63" s="171"/>
      <c r="C63" s="405" t="s">
        <v>79</v>
      </c>
      <c r="D63" s="405"/>
      <c r="E63" s="405"/>
      <c r="F63" s="405"/>
      <c r="G63" s="405"/>
      <c r="H63" s="405"/>
      <c r="I63" s="172"/>
      <c r="J63" s="39"/>
      <c r="K63" s="155"/>
      <c r="L63" s="40"/>
      <c r="M63" s="19"/>
      <c r="N63" s="19"/>
      <c r="O63" s="19"/>
      <c r="P63" s="19"/>
      <c r="Q63" s="19"/>
      <c r="R63" s="19"/>
      <c r="S63" s="19"/>
      <c r="T63" s="19"/>
      <c r="U63" s="19"/>
      <c r="V63" s="33"/>
      <c r="W63" s="20"/>
      <c r="X63" s="20"/>
      <c r="Y63" s="20"/>
      <c r="Z63" s="20"/>
      <c r="AA63" s="20"/>
      <c r="AB63" s="2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15">
      <c r="A64" s="20"/>
      <c r="B64" s="173"/>
      <c r="C64" s="91" t="s">
        <v>0</v>
      </c>
      <c r="D64" s="42"/>
      <c r="E64" s="42"/>
      <c r="F64" s="42"/>
      <c r="G64" s="42"/>
      <c r="H64" s="42"/>
      <c r="I64" s="174"/>
      <c r="J64" s="50"/>
      <c r="K64" s="155"/>
      <c r="L64" s="50"/>
      <c r="M64" s="41"/>
      <c r="N64" s="41"/>
      <c r="O64" s="20"/>
      <c r="P64" s="20"/>
      <c r="Q64" s="20"/>
      <c r="R64" s="20"/>
      <c r="S64" s="20"/>
      <c r="T64" s="20"/>
      <c r="U64" s="20"/>
      <c r="V64" s="33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5">
      <c r="A65" s="20"/>
      <c r="B65" s="173"/>
      <c r="C65" s="175"/>
      <c r="D65" s="175"/>
      <c r="E65" s="175"/>
      <c r="F65" s="175"/>
      <c r="G65" s="175"/>
      <c r="H65" s="175"/>
      <c r="I65" s="176"/>
      <c r="J65" s="42"/>
      <c r="K65" s="42"/>
      <c r="L65" s="42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9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5">
      <c r="A66" s="13"/>
      <c r="B66" s="164"/>
      <c r="C66" s="5"/>
      <c r="D66" s="5"/>
      <c r="E66" s="5"/>
      <c r="F66" s="2"/>
      <c r="G66" s="2"/>
      <c r="H66" s="2"/>
      <c r="I66" s="167"/>
      <c r="J66" s="3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20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5.75" thickBot="1">
      <c r="A67" s="13"/>
      <c r="B67" s="179"/>
      <c r="C67" s="180"/>
      <c r="D67" s="180"/>
      <c r="E67" s="180"/>
      <c r="F67" s="181"/>
      <c r="G67" s="181"/>
      <c r="H67" s="181"/>
      <c r="I67" s="182"/>
      <c r="J67" s="11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0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ht="12.75" hidden="1">
      <c r="A68" s="48"/>
      <c r="B68" s="48"/>
      <c r="C68" s="175"/>
      <c r="D68" s="175"/>
      <c r="E68" s="175"/>
      <c r="F68" s="98" t="str">
        <f>VLOOKUP(H30,DyPFlow,3,FALSE)</f>
        <v>S</v>
      </c>
      <c r="G68" s="98"/>
      <c r="H68" s="98"/>
      <c r="I68" s="7"/>
      <c r="J68" s="7"/>
      <c r="K68" s="7"/>
      <c r="L68" s="7"/>
      <c r="M68" s="5"/>
      <c r="N68" s="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2.75" hidden="1">
      <c r="A69" s="48"/>
      <c r="B69" s="48"/>
      <c r="C69" s="48"/>
      <c r="D69" s="48"/>
      <c r="E69" s="48"/>
      <c r="F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0.10444134941375458</v>
      </c>
      <c r="G69" s="177"/>
      <c r="H69" s="177"/>
      <c r="I69" s="7"/>
      <c r="J69" s="7"/>
      <c r="K69" s="7"/>
      <c r="L69" s="7"/>
      <c r="M69" s="5"/>
      <c r="N69" s="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2.75" hidden="1">
      <c r="A70" s="48"/>
      <c r="B70" s="48"/>
      <c r="C70" s="178"/>
      <c r="D70" s="5"/>
      <c r="E70" s="5"/>
      <c r="F70" s="12"/>
      <c r="G70" s="12"/>
      <c r="H70" s="12"/>
      <c r="I70" s="2"/>
      <c r="J70" s="2"/>
      <c r="K70" s="5"/>
      <c r="L70" s="5"/>
      <c r="M70" s="5"/>
      <c r="N70" s="5"/>
      <c r="O70" s="5"/>
      <c r="P70" s="5"/>
      <c r="Q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0.00000178/(1+0.0337*$H$28+0.000221*$H$28^2)</f>
        <v>1.5636859415849098E-06</v>
      </c>
      <c r="G71" s="218"/>
      <c r="H71" s="219"/>
      <c r="I71" s="2"/>
      <c r="J71" s="2"/>
      <c r="K71" s="8"/>
      <c r="L71" s="8"/>
      <c r="M71" s="8"/>
      <c r="N71" s="5"/>
      <c r="O71" s="5"/>
      <c r="P71" s="8"/>
      <c r="Q71" s="8"/>
      <c r="W71" s="8"/>
      <c r="X71" s="8"/>
      <c r="Y71" s="8"/>
      <c r="Z71" s="8"/>
      <c r="AA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5" hidden="1">
      <c r="A72" s="48"/>
      <c r="B72" s="48"/>
      <c r="C72" s="152" t="s">
        <v>57</v>
      </c>
      <c r="D72" s="138" t="s">
        <v>58</v>
      </c>
      <c r="E72" s="138"/>
      <c r="F72" s="154">
        <f>H44*$H$36/$F$71/1000</f>
        <v>45224.43196207037</v>
      </c>
      <c r="G72" s="220"/>
      <c r="H72" s="221"/>
      <c r="I72" s="104"/>
      <c r="J72" s="104"/>
      <c r="K72" s="9"/>
      <c r="L72" s="9"/>
      <c r="M72" s="9"/>
      <c r="N72" s="6"/>
      <c r="O72" s="6"/>
      <c r="P72" s="9"/>
      <c r="Q72" s="9"/>
      <c r="W72" s="9"/>
      <c r="X72" s="9"/>
      <c r="Y72" s="9"/>
      <c r="Z72" s="9"/>
      <c r="AA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 hidden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5"/>
      <c r="L73" s="5"/>
      <c r="M73" s="5"/>
      <c r="N73" s="5"/>
      <c r="O73" s="5"/>
      <c r="P73" s="5"/>
      <c r="Q73" s="5"/>
      <c r="W73" s="5"/>
      <c r="X73" s="5"/>
      <c r="Y73" s="5"/>
      <c r="Z73" s="5"/>
      <c r="AA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2.75" hidden="1">
      <c r="A74" s="48"/>
      <c r="B74" s="48"/>
      <c r="C74" s="5"/>
      <c r="D74" s="5"/>
      <c r="E74" s="44"/>
      <c r="F74" s="96"/>
      <c r="G74" s="8"/>
      <c r="H74" s="5"/>
      <c r="I74" s="105"/>
      <c r="J74" s="105"/>
      <c r="K74" s="10"/>
      <c r="L74" s="10"/>
      <c r="M74" s="10"/>
      <c r="N74" s="10"/>
      <c r="O74" s="5"/>
      <c r="P74" s="5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2.75">
      <c r="A75" s="48"/>
      <c r="B75" s="48"/>
      <c r="C75" s="5"/>
      <c r="D75" s="5"/>
      <c r="E75" s="44"/>
      <c r="F75" s="192"/>
      <c r="G75" s="192"/>
      <c r="H75" s="192"/>
      <c r="I75" s="112"/>
      <c r="J75" s="11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2.75">
      <c r="A76" s="48"/>
      <c r="B76" s="48"/>
      <c r="C76" s="5"/>
      <c r="D76" s="5"/>
      <c r="E76" s="5"/>
      <c r="F76" s="48"/>
      <c r="G76" s="48"/>
      <c r="H76" s="48"/>
      <c r="I76" s="115"/>
      <c r="J76" s="115"/>
      <c r="K76" s="11"/>
      <c r="L76" s="11"/>
      <c r="M76" s="11"/>
      <c r="N76" s="11"/>
      <c r="O76" s="5"/>
      <c r="P76" s="5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0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48"/>
      <c r="B77" s="48"/>
      <c r="C77" s="5"/>
      <c r="D77" s="5"/>
      <c r="E77" s="5"/>
      <c r="F77" s="192"/>
      <c r="G77" s="192"/>
      <c r="H77" s="192"/>
      <c r="I77" s="112"/>
      <c r="J77" s="112"/>
      <c r="K77" s="5"/>
      <c r="L77" s="5"/>
      <c r="M77" s="5"/>
      <c r="N77" s="5"/>
      <c r="O77" s="7"/>
      <c r="P77" s="7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2.75">
      <c r="A78" s="48"/>
      <c r="B78" s="48"/>
      <c r="C78" s="5"/>
      <c r="D78" s="5"/>
      <c r="E78" s="5"/>
      <c r="F78" s="2"/>
      <c r="G78" s="2"/>
      <c r="H78" s="2"/>
      <c r="I78" s="188"/>
      <c r="J78" s="188"/>
      <c r="K78" s="12"/>
      <c r="L78" s="12"/>
      <c r="M78" s="12"/>
      <c r="N78" s="12"/>
      <c r="O78" s="7"/>
      <c r="P78" s="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1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12.75">
      <c r="A79" s="48"/>
      <c r="B79" s="48"/>
      <c r="C79" s="5"/>
      <c r="D79" s="5"/>
      <c r="E79" s="5"/>
      <c r="F79" s="2"/>
      <c r="G79" s="2"/>
      <c r="H79" s="2"/>
      <c r="I79" s="188"/>
      <c r="J79" s="188"/>
      <c r="K79" s="12"/>
      <c r="L79" s="12"/>
      <c r="M79" s="12"/>
      <c r="N79" s="12"/>
      <c r="O79" s="5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5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12.75">
      <c r="A80" s="48"/>
      <c r="B80" s="48"/>
      <c r="C80" s="5"/>
      <c r="D80" s="5"/>
      <c r="E80" s="5"/>
      <c r="F80" s="2"/>
      <c r="G80" s="2"/>
      <c r="H80" s="2"/>
      <c r="I80" s="188"/>
      <c r="J80" s="188"/>
      <c r="K80" s="12"/>
      <c r="L80" s="12"/>
      <c r="M80" s="12"/>
      <c r="N80" s="12"/>
      <c r="O80" s="8"/>
      <c r="P80" s="8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5"/>
      <c r="L81" s="5"/>
      <c r="M81" s="5"/>
      <c r="N81" s="5"/>
      <c r="O81" s="9"/>
      <c r="P81" s="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2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2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2.75">
      <c r="A83" s="48"/>
      <c r="B83" s="48"/>
      <c r="C83" s="5"/>
      <c r="D83" s="5"/>
      <c r="E83" s="5"/>
      <c r="F83" s="2"/>
      <c r="G83" s="2"/>
      <c r="H83" s="2"/>
      <c r="I83" s="188"/>
      <c r="J83" s="188"/>
      <c r="K83" s="12"/>
      <c r="L83" s="12"/>
      <c r="M83" s="12"/>
      <c r="N83" s="12"/>
      <c r="O83" s="10"/>
      <c r="P83" s="1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5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ht="12.75">
      <c r="A84" s="48"/>
      <c r="B84" s="48"/>
      <c r="C84" s="5"/>
      <c r="D84" s="5"/>
      <c r="E84" s="5"/>
      <c r="F84" s="2"/>
      <c r="G84" s="2"/>
      <c r="H84" s="2"/>
      <c r="I84" s="2"/>
      <c r="J84" s="2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2.75">
      <c r="A85" s="48"/>
      <c r="B85" s="48"/>
      <c r="C85" s="5"/>
      <c r="D85" s="5"/>
      <c r="E85" s="5"/>
      <c r="F85" s="2"/>
      <c r="G85" s="2"/>
      <c r="H85" s="2"/>
      <c r="I85" s="2"/>
      <c r="J85" s="2"/>
      <c r="K85" s="5"/>
      <c r="L85" s="5"/>
      <c r="M85" s="5"/>
      <c r="N85" s="5"/>
      <c r="O85" s="11"/>
      <c r="P85" s="1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2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5"/>
      <c r="L87" s="5"/>
      <c r="M87" s="5"/>
      <c r="N87" s="5"/>
      <c r="O87" s="12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5"/>
      <c r="L88" s="5"/>
      <c r="M88" s="5"/>
      <c r="N88" s="5"/>
      <c r="O88" s="12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0:39" ht="12.75">
      <c r="J89" s="2"/>
      <c r="K89" s="5"/>
      <c r="L89" s="5"/>
      <c r="M89" s="5"/>
      <c r="N89" s="5"/>
      <c r="O89" s="12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0:39" ht="12.75">
      <c r="J90" s="2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3:39" ht="12.75">
      <c r="C91" s="5"/>
      <c r="D91" s="5"/>
      <c r="E91" s="5"/>
      <c r="F91" s="2"/>
      <c r="G91" s="2"/>
      <c r="H91" s="2"/>
      <c r="I91" s="2"/>
      <c r="J91" s="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3:39" ht="12.75">
      <c r="C92" s="5"/>
      <c r="D92" s="5"/>
      <c r="E92" s="5"/>
      <c r="F92" s="2"/>
      <c r="G92" s="2"/>
      <c r="H92" s="2"/>
      <c r="I92" s="2"/>
      <c r="J92" s="2"/>
      <c r="K92" s="5"/>
      <c r="L92" s="5"/>
      <c r="M92" s="5"/>
      <c r="N92" s="5"/>
      <c r="O92" s="12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3:39" ht="12.75">
      <c r="C93" s="5"/>
      <c r="D93" s="5"/>
      <c r="E93" s="5"/>
      <c r="F93" s="2"/>
      <c r="G93" s="2"/>
      <c r="H93" s="2"/>
      <c r="I93" s="2"/>
      <c r="J93" s="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3:39" ht="12.75">
      <c r="C94" s="5"/>
      <c r="D94" s="5"/>
      <c r="E94" s="5"/>
      <c r="F94" s="2"/>
      <c r="G94" s="2"/>
      <c r="H94" s="2"/>
      <c r="I94" s="2"/>
      <c r="J94" s="2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3:39" ht="12.75">
      <c r="C95" s="5"/>
      <c r="D95" s="5"/>
      <c r="E95" s="5"/>
      <c r="F95" s="2"/>
      <c r="G95" s="2"/>
      <c r="H95" s="2"/>
      <c r="I95" s="2"/>
      <c r="J95" s="2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3:39" ht="12.75">
      <c r="C96" s="5"/>
      <c r="D96" s="5"/>
      <c r="E96" s="5"/>
      <c r="F96" s="2"/>
      <c r="G96" s="2"/>
      <c r="H96" s="2"/>
      <c r="I96" s="2"/>
      <c r="J96" s="2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3:39" ht="12.75">
      <c r="C97" s="5"/>
      <c r="D97" s="5"/>
      <c r="E97" s="5"/>
      <c r="F97" s="2"/>
      <c r="G97" s="2"/>
      <c r="H97" s="2"/>
      <c r="I97" s="2"/>
      <c r="J97" s="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3:39" ht="12.75">
      <c r="C98" s="5"/>
      <c r="D98" s="5"/>
      <c r="E98" s="5"/>
      <c r="F98" s="2"/>
      <c r="G98" s="2"/>
      <c r="H98" s="2"/>
      <c r="I98" s="2"/>
      <c r="J98" s="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3:39" ht="12.75">
      <c r="C99" s="5"/>
      <c r="D99" s="5"/>
      <c r="E99" s="5"/>
      <c r="F99" s="2"/>
      <c r="G99" s="2"/>
      <c r="H99" s="2"/>
      <c r="I99" s="2"/>
      <c r="J99" s="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6:39" ht="12.75">
      <c r="F100" s="33"/>
      <c r="G100" s="33"/>
      <c r="H100" s="33"/>
      <c r="I100" s="2"/>
      <c r="J100" s="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7:39" ht="12.75">
      <c r="G101" s="33"/>
      <c r="H101" s="33"/>
      <c r="I101" s="2"/>
      <c r="J101" s="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6:39" ht="12.75">
      <c r="F102" s="33"/>
      <c r="G102" s="33"/>
      <c r="H102" s="33"/>
      <c r="I102" s="2"/>
      <c r="J102" s="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6:39" ht="12.75">
      <c r="F103" s="33"/>
      <c r="G103" s="33"/>
      <c r="H103" s="33"/>
      <c r="I103" s="2"/>
      <c r="J103" s="2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6:39" ht="12.75">
      <c r="F104" s="33"/>
      <c r="G104" s="33"/>
      <c r="H104" s="33"/>
      <c r="I104" s="2"/>
      <c r="J104" s="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6:39" ht="12.75">
      <c r="F105" s="33"/>
      <c r="G105" s="33"/>
      <c r="H105" s="33"/>
      <c r="I105" s="2"/>
      <c r="J105" s="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6:39" ht="12.75">
      <c r="F106" s="33"/>
      <c r="G106" s="33"/>
      <c r="H106" s="33"/>
      <c r="I106" s="2"/>
      <c r="J106" s="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6:39" ht="12.75">
      <c r="F107" s="33"/>
      <c r="G107" s="33"/>
      <c r="H107" s="33"/>
      <c r="I107" s="2"/>
      <c r="J107" s="2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6:39" ht="12.75">
      <c r="F108" s="33"/>
      <c r="G108" s="33"/>
      <c r="H108" s="33"/>
      <c r="I108" s="2"/>
      <c r="J108" s="2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6:39" ht="12.75">
      <c r="F109" s="33"/>
      <c r="G109" s="33"/>
      <c r="H109" s="33"/>
      <c r="I109" s="2"/>
      <c r="J109" s="2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6:39" ht="12.75">
      <c r="F110" s="33"/>
      <c r="G110" s="33"/>
      <c r="H110" s="33"/>
      <c r="I110" s="2"/>
      <c r="J110" s="2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6:39" ht="12.75">
      <c r="F111" s="33"/>
      <c r="G111" s="33"/>
      <c r="H111" s="3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6:39" ht="12.75">
      <c r="F112" s="33"/>
      <c r="G112" s="33"/>
      <c r="H112" s="3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6:28" ht="12.75">
      <c r="F113" s="33"/>
      <c r="G113" s="33"/>
      <c r="H113" s="33"/>
      <c r="O113" s="5"/>
      <c r="P113" s="5"/>
      <c r="AB113" s="5"/>
    </row>
    <row r="114" spans="15:28" ht="12.75">
      <c r="O114" s="5"/>
      <c r="P114" s="5"/>
      <c r="AB114" s="5"/>
    </row>
    <row r="115" spans="15:16" ht="12.75">
      <c r="O115" s="5"/>
      <c r="P115" s="5"/>
    </row>
    <row r="116" spans="15:16" ht="12.75">
      <c r="O116" s="5"/>
      <c r="P116" s="5"/>
    </row>
    <row r="117" spans="15:16" ht="12.75">
      <c r="O117" s="5"/>
      <c r="P117" s="5"/>
    </row>
    <row r="118" spans="15:16" ht="12.75">
      <c r="O118" s="5"/>
      <c r="P118" s="5"/>
    </row>
    <row r="119" spans="15:16" ht="12.75">
      <c r="O119" s="5"/>
      <c r="P119" s="5"/>
    </row>
    <row r="120" spans="15:16" ht="12.75">
      <c r="O120" s="5"/>
      <c r="P120" s="5"/>
    </row>
    <row r="121" spans="15:16" ht="12.75">
      <c r="O121" s="5"/>
      <c r="P121" s="5"/>
    </row>
  </sheetData>
  <sheetProtection password="E09E" sheet="1" objects="1" scenarios="1"/>
  <mergeCells count="35">
    <mergeCell ref="G14:H14"/>
    <mergeCell ref="C53:E53"/>
    <mergeCell ref="C27:E27"/>
    <mergeCell ref="C28:E28"/>
    <mergeCell ref="C29:E29"/>
    <mergeCell ref="C30:E30"/>
    <mergeCell ref="C32:E32"/>
    <mergeCell ref="C33:E33"/>
    <mergeCell ref="C34:E34"/>
    <mergeCell ref="C26:E26"/>
    <mergeCell ref="C35:E35"/>
    <mergeCell ref="C31:E31"/>
    <mergeCell ref="C63:H63"/>
    <mergeCell ref="C37:E37"/>
    <mergeCell ref="C36:E36"/>
    <mergeCell ref="C38:E38"/>
    <mergeCell ref="C39:E39"/>
    <mergeCell ref="C45:E45"/>
    <mergeCell ref="C40:E40"/>
    <mergeCell ref="C42:E42"/>
    <mergeCell ref="C58:E58"/>
    <mergeCell ref="C41:E41"/>
    <mergeCell ref="C47:E47"/>
    <mergeCell ref="C48:E48"/>
    <mergeCell ref="C54:E54"/>
    <mergeCell ref="C46:E46"/>
    <mergeCell ref="C56:E56"/>
    <mergeCell ref="C57:E57"/>
    <mergeCell ref="C49:E49"/>
    <mergeCell ref="C50:E50"/>
    <mergeCell ref="C51:E51"/>
    <mergeCell ref="C52:E52"/>
    <mergeCell ref="C55:E55"/>
    <mergeCell ref="C43:E43"/>
    <mergeCell ref="C44:E44"/>
  </mergeCells>
  <conditionalFormatting sqref="H44">
    <cfRule type="cellIs" priority="2" dxfId="1" operator="greaterThanOrEqual" stopIfTrue="1">
      <formula>10</formula>
    </cfRule>
  </conditionalFormatting>
  <conditionalFormatting sqref="H45:H46">
    <cfRule type="cellIs" priority="1" dxfId="0" operator="greaterThanOrEqual" stopIfTrue="1">
      <formula>3</formula>
    </cfRule>
  </conditionalFormatting>
  <dataValidations count="3">
    <dataValidation errorStyle="warning" type="list" allowBlank="1" showInputMessage="1" showErrorMessage="1" error="111" sqref="H30">
      <formula1>TypePFlow</formula1>
    </dataValidation>
    <dataValidation type="list" allowBlank="1" showInputMessage="1" showErrorMessage="1" sqref="H31">
      <formula1>OFFSET(BegParamKM,MATCH(H36,Dy0KM,0)-1,0,VLOOKUP(H36,ParamKM2,5,FALSE))</formula1>
    </dataValidation>
    <dataValidation type="list" allowBlank="1" showInputMessage="1" showErrorMessage="1" sqref="H32">
      <formula1>OFFSET(BegParamKM,MATCH(H36,Dy0KM,0)-1,0,VLOOKUP(H36,ParamKM2,5,FALSE))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23"/>
  <sheetViews>
    <sheetView zoomScale="75" zoomScaleNormal="75" zoomScalePageLayoutView="0" workbookViewId="0" topLeftCell="A37">
      <selection activeCell="AR49" sqref="AR49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3" customWidth="1"/>
    <col min="11" max="11" width="5.25390625" style="33" customWidth="1"/>
    <col min="12" max="12" width="11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8.1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9" width="10.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customWidth="1"/>
    <col min="43" max="43" width="2.75390625" style="1" customWidth="1"/>
    <col min="44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85"/>
      <c r="C2" s="186"/>
      <c r="D2" s="186"/>
      <c r="E2" s="186"/>
      <c r="F2" s="186"/>
      <c r="G2" s="186"/>
      <c r="H2" s="186"/>
      <c r="I2" s="186"/>
      <c r="J2" s="187"/>
    </row>
    <row r="3" spans="2:13" s="21" customFormat="1" ht="20.25" customHeight="1">
      <c r="B3" s="183"/>
      <c r="C3" s="421" t="s">
        <v>120</v>
      </c>
      <c r="D3" s="421"/>
      <c r="E3" s="421"/>
      <c r="F3" s="421"/>
      <c r="G3" s="421"/>
      <c r="H3" s="421"/>
      <c r="I3" s="421"/>
      <c r="J3" s="184"/>
      <c r="K3" s="99"/>
      <c r="L3" s="31"/>
      <c r="M3" s="31"/>
    </row>
    <row r="4" spans="2:13" s="43" customFormat="1" ht="20.25" customHeight="1">
      <c r="B4" s="157"/>
      <c r="C4" s="158"/>
      <c r="D4" s="100"/>
      <c r="E4" s="158"/>
      <c r="F4" s="158"/>
      <c r="G4" s="158"/>
      <c r="H4" s="159"/>
      <c r="I4" s="159"/>
      <c r="J4" s="160"/>
      <c r="K4" s="101"/>
      <c r="L4" s="32"/>
      <c r="M4" s="32"/>
    </row>
    <row r="5" spans="2:13" s="43" customFormat="1" ht="18">
      <c r="B5" s="157"/>
      <c r="C5" s="102" t="s">
        <v>116</v>
      </c>
      <c r="D5" s="422"/>
      <c r="E5" s="423"/>
      <c r="F5" s="423"/>
      <c r="G5" s="423"/>
      <c r="H5" s="423"/>
      <c r="I5" s="424"/>
      <c r="J5" s="160"/>
      <c r="K5" s="101"/>
      <c r="L5" s="32"/>
      <c r="M5" s="32"/>
    </row>
    <row r="6" spans="2:13" s="43" customFormat="1" ht="18" customHeight="1">
      <c r="B6" s="157"/>
      <c r="C6" s="5"/>
      <c r="D6" s="425"/>
      <c r="E6" s="426"/>
      <c r="F6" s="426"/>
      <c r="G6" s="426"/>
      <c r="H6" s="426"/>
      <c r="I6" s="427"/>
      <c r="J6" s="160"/>
      <c r="K6" s="101"/>
      <c r="L6" s="32"/>
      <c r="M6" s="32"/>
    </row>
    <row r="7" spans="2:13" s="43" customFormat="1" ht="18" customHeight="1">
      <c r="B7" s="157"/>
      <c r="C7" s="158"/>
      <c r="D7" s="428"/>
      <c r="E7" s="429"/>
      <c r="F7" s="429"/>
      <c r="G7" s="429"/>
      <c r="H7" s="429"/>
      <c r="I7" s="430"/>
      <c r="J7" s="160"/>
      <c r="K7" s="101"/>
      <c r="L7" s="32"/>
      <c r="M7" s="32"/>
    </row>
    <row r="8" spans="2:11" ht="15.75" customHeight="1">
      <c r="B8" s="161"/>
      <c r="C8" s="162"/>
      <c r="D8" s="162"/>
      <c r="E8" s="162"/>
      <c r="F8" s="162"/>
      <c r="G8" s="162"/>
      <c r="H8" s="162"/>
      <c r="I8" s="162"/>
      <c r="J8" s="163"/>
      <c r="K8" s="103"/>
    </row>
    <row r="9" spans="2:10" ht="15.75" customHeight="1">
      <c r="B9" s="164"/>
      <c r="C9" s="165"/>
      <c r="D9" s="165"/>
      <c r="E9" s="165"/>
      <c r="F9" s="165"/>
      <c r="G9" s="165"/>
      <c r="J9" s="166"/>
    </row>
    <row r="10" spans="2:10" ht="15.75" customHeight="1">
      <c r="B10" s="164"/>
      <c r="C10" s="48"/>
      <c r="D10" s="48"/>
      <c r="E10" s="48"/>
      <c r="F10" s="48"/>
      <c r="G10" s="48"/>
      <c r="J10" s="166"/>
    </row>
    <row r="11" spans="2:10" ht="15.75" customHeight="1">
      <c r="B11" s="164"/>
      <c r="C11" s="48"/>
      <c r="D11" s="48"/>
      <c r="E11" s="48"/>
      <c r="F11" s="48"/>
      <c r="G11" s="48"/>
      <c r="J11" s="166"/>
    </row>
    <row r="12" spans="2:10" ht="15.75" customHeight="1">
      <c r="B12" s="164"/>
      <c r="C12" s="48"/>
      <c r="D12" s="48"/>
      <c r="E12" s="48"/>
      <c r="F12" s="48"/>
      <c r="G12" s="48"/>
      <c r="J12" s="166"/>
    </row>
    <row r="13" spans="2:10" ht="15.75" customHeight="1">
      <c r="B13" s="164"/>
      <c r="C13" s="48"/>
      <c r="D13" s="48"/>
      <c r="E13" s="48"/>
      <c r="F13" s="48"/>
      <c r="J13" s="166"/>
    </row>
    <row r="14" spans="2:10" ht="15.75" customHeight="1">
      <c r="B14" s="164"/>
      <c r="C14" s="48"/>
      <c r="D14" s="48"/>
      <c r="E14" s="48"/>
      <c r="F14" s="48"/>
      <c r="G14" s="417" t="s">
        <v>119</v>
      </c>
      <c r="H14" s="417"/>
      <c r="I14" s="417"/>
      <c r="J14" s="166"/>
    </row>
    <row r="15" spans="2:10" ht="15.75" customHeight="1">
      <c r="B15" s="164"/>
      <c r="C15" s="48"/>
      <c r="D15" s="48"/>
      <c r="E15" s="48"/>
      <c r="F15" s="48"/>
      <c r="G15" s="418" t="s">
        <v>149</v>
      </c>
      <c r="H15" s="418"/>
      <c r="I15" s="357" t="s">
        <v>194</v>
      </c>
      <c r="J15" s="166"/>
    </row>
    <row r="16" spans="2:10" ht="15.75" customHeight="1">
      <c r="B16" s="164"/>
      <c r="C16" s="48"/>
      <c r="D16" s="48"/>
      <c r="E16" s="48"/>
      <c r="F16" s="48"/>
      <c r="G16" s="419" t="s">
        <v>131</v>
      </c>
      <c r="H16" s="419"/>
      <c r="I16" s="249">
        <v>111</v>
      </c>
      <c r="J16" s="166"/>
    </row>
    <row r="17" spans="2:10" ht="15.75" customHeight="1">
      <c r="B17" s="164"/>
      <c r="C17" s="48"/>
      <c r="D17" s="48"/>
      <c r="E17" s="48"/>
      <c r="F17" s="48"/>
      <c r="G17" s="420" t="s">
        <v>132</v>
      </c>
      <c r="H17" s="420"/>
      <c r="I17" s="250">
        <v>128</v>
      </c>
      <c r="J17" s="166"/>
    </row>
    <row r="18" spans="2:10" ht="15.75" customHeight="1">
      <c r="B18" s="164"/>
      <c r="C18" s="48"/>
      <c r="D18" s="48"/>
      <c r="E18" s="48"/>
      <c r="F18" s="48"/>
      <c r="G18" s="420" t="s">
        <v>238</v>
      </c>
      <c r="H18" s="420"/>
      <c r="I18" s="250">
        <v>200</v>
      </c>
      <c r="J18" s="166"/>
    </row>
    <row r="19" spans="2:10" ht="15.75" customHeight="1">
      <c r="B19" s="164"/>
      <c r="C19" s="48"/>
      <c r="D19" s="48"/>
      <c r="E19" s="48"/>
      <c r="F19" s="48"/>
      <c r="G19" s="416" t="s">
        <v>133</v>
      </c>
      <c r="H19" s="416"/>
      <c r="I19" s="251" t="s">
        <v>142</v>
      </c>
      <c r="J19" s="166"/>
    </row>
    <row r="20" spans="2:13" ht="15.75" customHeight="1">
      <c r="B20" s="164"/>
      <c r="C20" s="48"/>
      <c r="D20" s="48"/>
      <c r="E20" s="48"/>
      <c r="F20" s="48"/>
      <c r="G20" s="416" t="s">
        <v>226</v>
      </c>
      <c r="H20" s="416"/>
      <c r="I20" s="251" t="s">
        <v>227</v>
      </c>
      <c r="J20" s="166"/>
      <c r="M20" s="116"/>
    </row>
    <row r="21" spans="2:10" ht="15.75" customHeight="1">
      <c r="B21" s="164"/>
      <c r="C21" s="48"/>
      <c r="D21" s="48"/>
      <c r="E21" s="48"/>
      <c r="F21" s="48"/>
      <c r="G21" s="416" t="s">
        <v>134</v>
      </c>
      <c r="H21" s="416"/>
      <c r="I21" s="251">
        <v>200</v>
      </c>
      <c r="J21" s="166"/>
    </row>
    <row r="22" spans="2:10" ht="15.75" customHeight="1">
      <c r="B22" s="164"/>
      <c r="C22" s="48"/>
      <c r="D22" s="48"/>
      <c r="E22" s="48"/>
      <c r="F22" s="48"/>
      <c r="G22" s="416" t="s">
        <v>201</v>
      </c>
      <c r="H22" s="416"/>
      <c r="I22" s="251" t="s">
        <v>143</v>
      </c>
      <c r="J22" s="166"/>
    </row>
    <row r="23" spans="2:10" ht="15.75" customHeight="1">
      <c r="B23" s="164"/>
      <c r="C23" s="48"/>
      <c r="D23" s="48"/>
      <c r="E23" s="48"/>
      <c r="F23" s="48"/>
      <c r="G23" s="420" t="s">
        <v>202</v>
      </c>
      <c r="H23" s="420"/>
      <c r="I23" s="250">
        <v>328</v>
      </c>
      <c r="J23" s="166"/>
    </row>
    <row r="24" spans="2:40" ht="15.75" customHeight="1">
      <c r="B24" s="164"/>
      <c r="C24" s="445"/>
      <c r="D24" s="445"/>
      <c r="E24" s="445"/>
      <c r="F24" s="445"/>
      <c r="G24" s="445"/>
      <c r="H24" s="445"/>
      <c r="I24" s="445"/>
      <c r="J24" s="166"/>
      <c r="N24" s="88" t="s">
        <v>111</v>
      </c>
      <c r="O24" s="88" t="s">
        <v>112</v>
      </c>
      <c r="R24" s="19"/>
      <c r="AE24" s="79" t="s">
        <v>100</v>
      </c>
      <c r="AF24" s="79" t="s">
        <v>101</v>
      </c>
      <c r="AG24" s="79" t="s">
        <v>102</v>
      </c>
      <c r="AH24" s="80" t="s">
        <v>103</v>
      </c>
      <c r="AI24" s="52"/>
      <c r="AJ24" s="93" t="s">
        <v>104</v>
      </c>
      <c r="AK24" s="93" t="s">
        <v>104</v>
      </c>
      <c r="AL24" s="264"/>
      <c r="AM24" s="211"/>
      <c r="AN24" s="1" t="s">
        <v>6</v>
      </c>
    </row>
    <row r="25" spans="2:40" ht="16.5" thickBot="1">
      <c r="B25" s="164"/>
      <c r="C25" s="48"/>
      <c r="D25" s="35" t="s">
        <v>2</v>
      </c>
      <c r="E25" s="36" t="s">
        <v>3</v>
      </c>
      <c r="F25" s="453" t="s">
        <v>93</v>
      </c>
      <c r="G25" s="454"/>
      <c r="H25" s="453" t="s">
        <v>94</v>
      </c>
      <c r="I25" s="454"/>
      <c r="J25" s="166"/>
      <c r="M25" s="81" t="s">
        <v>109</v>
      </c>
      <c r="N25" s="87">
        <f>F28+273.15</f>
        <v>423.15</v>
      </c>
      <c r="O25" s="87">
        <f>H28+273.15</f>
        <v>343.15</v>
      </c>
      <c r="R25" s="19"/>
      <c r="AE25" s="81">
        <v>1</v>
      </c>
      <c r="AF25" s="81">
        <v>0</v>
      </c>
      <c r="AG25" s="81">
        <v>-2</v>
      </c>
      <c r="AH25" s="82">
        <v>0.14632971213167</v>
      </c>
      <c r="AI25" s="83"/>
      <c r="AJ25" s="94">
        <f>-AH25*AF25*(7.1-$N$28)^(AF25-1)*($N$27-1.222)^AG25</f>
        <v>0</v>
      </c>
      <c r="AK25" s="94">
        <f>-AH25*AF25*(7.1-$O$28)^(AF25-1)*($O$27-1.222)^AG25</f>
        <v>0</v>
      </c>
      <c r="AL25" s="265"/>
      <c r="AM25" s="212"/>
      <c r="AN25" s="1" t="s">
        <v>9</v>
      </c>
    </row>
    <row r="26" spans="2:40" ht="16.5" thickBot="1">
      <c r="B26" s="164"/>
      <c r="C26" s="261" t="s">
        <v>76</v>
      </c>
      <c r="D26" s="262"/>
      <c r="E26" s="262"/>
      <c r="F26" s="262"/>
      <c r="G26" s="262"/>
      <c r="H26" s="262"/>
      <c r="I26" s="263"/>
      <c r="J26" s="166"/>
      <c r="M26" s="81" t="s">
        <v>108</v>
      </c>
      <c r="N26" s="81">
        <f>F29*0.0980665</f>
        <v>0.51975245</v>
      </c>
      <c r="O26" s="81">
        <f>H29*0.0980665</f>
        <v>0.3138128</v>
      </c>
      <c r="R26" s="19"/>
      <c r="AE26" s="81">
        <v>2</v>
      </c>
      <c r="AF26" s="81">
        <v>0</v>
      </c>
      <c r="AG26" s="81">
        <v>-1</v>
      </c>
      <c r="AH26" s="82">
        <v>-0.84548187169114</v>
      </c>
      <c r="AI26" s="83"/>
      <c r="AJ26" s="94">
        <f aca="true" t="shared" si="0" ref="AJ26:AJ58">-AH26*AF26*(7.1-$N$28)^(AF26-1)*($N$27-1.222)^AG26</f>
        <v>0</v>
      </c>
      <c r="AK26" s="94">
        <f aca="true" t="shared" si="1" ref="AK26:AK58">-AH26*AF26*(7.1-$O$28)^(AF26-1)*($O$27-1.222)^AG26</f>
        <v>0</v>
      </c>
      <c r="AL26" s="265"/>
      <c r="AM26" s="212"/>
      <c r="AN26" s="1" t="s">
        <v>11</v>
      </c>
    </row>
    <row r="27" spans="2:40" ht="18">
      <c r="B27" s="164"/>
      <c r="C27" s="117" t="s">
        <v>88</v>
      </c>
      <c r="D27" s="118" t="s">
        <v>7</v>
      </c>
      <c r="E27" s="119" t="s">
        <v>8</v>
      </c>
      <c r="F27" s="431">
        <v>7.92</v>
      </c>
      <c r="G27" s="432"/>
      <c r="H27" s="468">
        <v>3.3</v>
      </c>
      <c r="I27" s="432"/>
      <c r="J27" s="166"/>
      <c r="M27" s="92" t="s">
        <v>106</v>
      </c>
      <c r="N27" s="81">
        <f>1386/N25</f>
        <v>3.275434243176179</v>
      </c>
      <c r="O27" s="81">
        <f>1386/O25</f>
        <v>4.0390499781436695</v>
      </c>
      <c r="R27" s="19"/>
      <c r="AE27" s="81">
        <v>3</v>
      </c>
      <c r="AF27" s="81">
        <v>0</v>
      </c>
      <c r="AG27" s="81">
        <v>0</v>
      </c>
      <c r="AH27" s="82">
        <v>-3.756360367204</v>
      </c>
      <c r="AI27" s="83"/>
      <c r="AJ27" s="94">
        <f t="shared" si="0"/>
        <v>0</v>
      </c>
      <c r="AK27" s="94">
        <f t="shared" si="1"/>
        <v>0</v>
      </c>
      <c r="AL27" s="265"/>
      <c r="AM27" s="212"/>
      <c r="AN27" s="1" t="s">
        <v>15</v>
      </c>
    </row>
    <row r="28" spans="2:40" ht="18">
      <c r="B28" s="164"/>
      <c r="C28" s="120" t="s">
        <v>89</v>
      </c>
      <c r="D28" s="121" t="s">
        <v>10</v>
      </c>
      <c r="E28" s="122" t="s">
        <v>81</v>
      </c>
      <c r="F28" s="433">
        <v>150</v>
      </c>
      <c r="G28" s="434"/>
      <c r="H28" s="469">
        <v>70</v>
      </c>
      <c r="I28" s="434"/>
      <c r="J28" s="166"/>
      <c r="M28" s="92" t="s">
        <v>107</v>
      </c>
      <c r="N28" s="81">
        <f>N26/16.53</f>
        <v>0.03144297943133696</v>
      </c>
      <c r="O28" s="81">
        <f>O26/16.53</f>
        <v>0.01898444041137326</v>
      </c>
      <c r="R28" s="19"/>
      <c r="AE28" s="81">
        <v>4</v>
      </c>
      <c r="AF28" s="81">
        <v>0</v>
      </c>
      <c r="AG28" s="81">
        <v>1</v>
      </c>
      <c r="AH28" s="82">
        <v>3.3855169168385</v>
      </c>
      <c r="AI28" s="83"/>
      <c r="AJ28" s="94">
        <f t="shared" si="0"/>
        <v>0</v>
      </c>
      <c r="AK28" s="94">
        <f t="shared" si="1"/>
        <v>0</v>
      </c>
      <c r="AL28" s="265"/>
      <c r="AM28" s="212"/>
      <c r="AN28" s="1" t="s">
        <v>16</v>
      </c>
    </row>
    <row r="29" spans="2:40" ht="18.75" thickBot="1">
      <c r="B29" s="164"/>
      <c r="C29" s="123" t="s">
        <v>12</v>
      </c>
      <c r="D29" s="124" t="s">
        <v>13</v>
      </c>
      <c r="E29" s="125" t="s">
        <v>14</v>
      </c>
      <c r="F29" s="435">
        <v>5.3</v>
      </c>
      <c r="G29" s="436"/>
      <c r="H29" s="470">
        <v>3.2</v>
      </c>
      <c r="I29" s="436"/>
      <c r="J29" s="166"/>
      <c r="M29" s="85" t="s">
        <v>110</v>
      </c>
      <c r="N29" s="85">
        <f>N28*AJ59*AH59*N25/N26</f>
        <v>1.0904751911778345</v>
      </c>
      <c r="O29" s="85">
        <f>O28*AK59*AH59*O25/O26</f>
        <v>1.0226278958381234</v>
      </c>
      <c r="R29" s="19"/>
      <c r="AE29" s="81">
        <v>5</v>
      </c>
      <c r="AF29" s="81">
        <v>0</v>
      </c>
      <c r="AG29" s="81">
        <v>2</v>
      </c>
      <c r="AH29" s="82">
        <v>-0.95791963387872</v>
      </c>
      <c r="AI29" s="83"/>
      <c r="AJ29" s="94">
        <f t="shared" si="0"/>
        <v>0</v>
      </c>
      <c r="AK29" s="94">
        <f t="shared" si="1"/>
        <v>0</v>
      </c>
      <c r="AL29" s="265"/>
      <c r="AM29" s="212"/>
      <c r="AN29" s="328" t="s">
        <v>209</v>
      </c>
    </row>
    <row r="30" spans="2:39" ht="18">
      <c r="B30" s="164"/>
      <c r="C30" s="126" t="s">
        <v>1</v>
      </c>
      <c r="D30" s="127"/>
      <c r="E30" s="119"/>
      <c r="F30" s="443" t="s">
        <v>124</v>
      </c>
      <c r="G30" s="444"/>
      <c r="H30" s="471" t="s">
        <v>124</v>
      </c>
      <c r="I30" s="472"/>
      <c r="J30" s="166"/>
      <c r="M30" s="49"/>
      <c r="N30" s="89">
        <f>1/N29*1000</f>
        <v>917.0314080413776</v>
      </c>
      <c r="O30" s="89">
        <f>1/O29*1000</f>
        <v>977.8727962241064</v>
      </c>
      <c r="R30" s="19"/>
      <c r="AE30" s="81">
        <v>6</v>
      </c>
      <c r="AF30" s="81">
        <v>0</v>
      </c>
      <c r="AG30" s="81">
        <v>3</v>
      </c>
      <c r="AH30" s="82">
        <v>0.15772038513228</v>
      </c>
      <c r="AI30" s="83"/>
      <c r="AJ30" s="94">
        <f t="shared" si="0"/>
        <v>0</v>
      </c>
      <c r="AK30" s="94">
        <f t="shared" si="1"/>
        <v>0</v>
      </c>
      <c r="AL30" s="265"/>
      <c r="AM30" s="212"/>
    </row>
    <row r="31" spans="2:40" ht="18">
      <c r="B31" s="164"/>
      <c r="C31" s="128" t="s">
        <v>17</v>
      </c>
      <c r="D31" s="129"/>
      <c r="E31" s="130"/>
      <c r="F31" s="450" t="s">
        <v>240</v>
      </c>
      <c r="G31" s="438"/>
      <c r="H31" s="437" t="s">
        <v>240</v>
      </c>
      <c r="I31" s="438"/>
      <c r="J31" s="166"/>
      <c r="O31" s="19"/>
      <c r="R31" s="19"/>
      <c r="AE31" s="81">
        <v>7</v>
      </c>
      <c r="AF31" s="81">
        <v>0</v>
      </c>
      <c r="AG31" s="81">
        <v>4</v>
      </c>
      <c r="AH31" s="82">
        <v>-0.016616417199501</v>
      </c>
      <c r="AI31" s="83"/>
      <c r="AJ31" s="94">
        <f t="shared" si="0"/>
        <v>0</v>
      </c>
      <c r="AK31" s="94">
        <f t="shared" si="1"/>
        <v>0</v>
      </c>
      <c r="AL31" s="265"/>
      <c r="AM31" s="212"/>
      <c r="AN31" s="1" t="s">
        <v>203</v>
      </c>
    </row>
    <row r="32" spans="2:40" ht="18">
      <c r="B32" s="164"/>
      <c r="C32" s="128" t="s">
        <v>19</v>
      </c>
      <c r="D32" s="129"/>
      <c r="E32" s="130"/>
      <c r="F32" s="450" t="s">
        <v>30</v>
      </c>
      <c r="G32" s="438"/>
      <c r="H32" s="437" t="s">
        <v>213</v>
      </c>
      <c r="I32" s="438"/>
      <c r="J32" s="166"/>
      <c r="O32" s="19"/>
      <c r="R32" s="19"/>
      <c r="AE32" s="81">
        <v>8</v>
      </c>
      <c r="AF32" s="81">
        <v>0</v>
      </c>
      <c r="AG32" s="81">
        <v>5</v>
      </c>
      <c r="AH32" s="82">
        <v>0.00081214629983568</v>
      </c>
      <c r="AI32" s="83"/>
      <c r="AJ32" s="94">
        <f t="shared" si="0"/>
        <v>0</v>
      </c>
      <c r="AK32" s="94">
        <f t="shared" si="1"/>
        <v>0</v>
      </c>
      <c r="AL32" s="265"/>
      <c r="AM32" s="212"/>
      <c r="AN32" s="1" t="s">
        <v>204</v>
      </c>
    </row>
    <row r="33" spans="2:40" ht="18">
      <c r="B33" s="164"/>
      <c r="C33" s="120" t="s">
        <v>20</v>
      </c>
      <c r="D33" s="131" t="s">
        <v>21</v>
      </c>
      <c r="E33" s="130" t="s">
        <v>22</v>
      </c>
      <c r="F33" s="450">
        <v>0.5</v>
      </c>
      <c r="G33" s="438"/>
      <c r="H33" s="437">
        <v>0.5</v>
      </c>
      <c r="I33" s="438"/>
      <c r="J33" s="166"/>
      <c r="M33" s="116" t="s">
        <v>215</v>
      </c>
      <c r="O33" s="19"/>
      <c r="R33" s="19"/>
      <c r="AE33" s="81">
        <v>9</v>
      </c>
      <c r="AF33" s="81">
        <v>1</v>
      </c>
      <c r="AG33" s="81">
        <v>-9</v>
      </c>
      <c r="AH33" s="82">
        <v>0.00028319080123804</v>
      </c>
      <c r="AI33" s="83"/>
      <c r="AJ33" s="94">
        <f t="shared" si="0"/>
        <v>-4.3626657632714847E-07</v>
      </c>
      <c r="AK33" s="94">
        <f t="shared" si="1"/>
        <v>-2.534709392903721E-08</v>
      </c>
      <c r="AL33" s="265"/>
      <c r="AM33" s="212"/>
      <c r="AN33" s="1" t="s">
        <v>205</v>
      </c>
    </row>
    <row r="34" spans="2:40" ht="18.75" thickBot="1">
      <c r="B34" s="164"/>
      <c r="C34" s="123" t="s">
        <v>29</v>
      </c>
      <c r="D34" s="132" t="s">
        <v>80</v>
      </c>
      <c r="E34" s="133" t="s">
        <v>22</v>
      </c>
      <c r="F34" s="451">
        <v>256</v>
      </c>
      <c r="G34" s="452"/>
      <c r="H34" s="455">
        <v>256</v>
      </c>
      <c r="I34" s="452"/>
      <c r="J34" s="166"/>
      <c r="M34" s="343" t="s">
        <v>216</v>
      </c>
      <c r="O34" s="19"/>
      <c r="P34" s="19"/>
      <c r="Q34" s="19"/>
      <c r="R34" s="19"/>
      <c r="AE34" s="81">
        <v>10</v>
      </c>
      <c r="AF34" s="81">
        <v>1</v>
      </c>
      <c r="AG34" s="81">
        <v>-7</v>
      </c>
      <c r="AH34" s="82">
        <v>-0.00060706301565874</v>
      </c>
      <c r="AI34" s="83"/>
      <c r="AJ34" s="94">
        <f t="shared" si="0"/>
        <v>3.9433758693388875E-06</v>
      </c>
      <c r="AK34" s="94">
        <f t="shared" si="1"/>
        <v>4.311932075685717E-07</v>
      </c>
      <c r="AL34" s="265"/>
      <c r="AM34" s="212"/>
      <c r="AN34" s="1" t="s">
        <v>206</v>
      </c>
    </row>
    <row r="35" spans="2:40" ht="16.5" thickBot="1">
      <c r="B35" s="164"/>
      <c r="C35" s="401" t="s">
        <v>78</v>
      </c>
      <c r="D35" s="402"/>
      <c r="E35" s="402"/>
      <c r="F35" s="402"/>
      <c r="G35" s="402"/>
      <c r="H35" s="402"/>
      <c r="I35" s="446"/>
      <c r="J35" s="166"/>
      <c r="M35" s="343" t="e">
        <f ca="1">OFFSET(BegParamKM,MATCH(F36,Dy0KM,0)-1,0,VLOOKUP(F36,ParamKM2,5,FALSE))</f>
        <v>#VALUE!</v>
      </c>
      <c r="O35" s="19"/>
      <c r="P35" s="19"/>
      <c r="Q35" s="19"/>
      <c r="R35" s="19"/>
      <c r="AE35" s="81">
        <v>11</v>
      </c>
      <c r="AF35" s="81">
        <v>1</v>
      </c>
      <c r="AG35" s="81">
        <v>-1</v>
      </c>
      <c r="AH35" s="82">
        <v>-0.018990068218419</v>
      </c>
      <c r="AI35" s="83"/>
      <c r="AJ35" s="94">
        <f t="shared" si="0"/>
        <v>0.009247955361378332</v>
      </c>
      <c r="AK35" s="94">
        <f t="shared" si="1"/>
        <v>0.006741118675832917</v>
      </c>
      <c r="AL35" s="265"/>
      <c r="AM35" s="212"/>
      <c r="AN35" s="1" t="s">
        <v>207</v>
      </c>
    </row>
    <row r="36" spans="2:40" ht="15">
      <c r="B36" s="164"/>
      <c r="C36" s="134" t="s">
        <v>23</v>
      </c>
      <c r="D36" s="135" t="s">
        <v>73</v>
      </c>
      <c r="E36" s="136" t="s">
        <v>22</v>
      </c>
      <c r="F36" s="456">
        <f>VLOOKUP(F30,DyPFlow,2,FALSE)</f>
        <v>20</v>
      </c>
      <c r="G36" s="457"/>
      <c r="H36" s="462">
        <f>VLOOKUP(H30,DyPFlow,2,FALSE)</f>
        <v>20</v>
      </c>
      <c r="I36" s="457"/>
      <c r="J36" s="166"/>
      <c r="M36" s="344">
        <f>F36</f>
        <v>20</v>
      </c>
      <c r="Q36" s="19"/>
      <c r="R36" s="19"/>
      <c r="AE36" s="81">
        <v>12</v>
      </c>
      <c r="AF36" s="81">
        <v>1</v>
      </c>
      <c r="AG36" s="81">
        <v>0</v>
      </c>
      <c r="AH36" s="82">
        <v>-0.032529748770505</v>
      </c>
      <c r="AI36" s="83"/>
      <c r="AJ36" s="94">
        <f t="shared" si="0"/>
        <v>0.032529748770505</v>
      </c>
      <c r="AK36" s="94">
        <f t="shared" si="1"/>
        <v>0.032529748770505</v>
      </c>
      <c r="AL36" s="265"/>
      <c r="AM36" s="212"/>
      <c r="AN36" s="328" t="s">
        <v>210</v>
      </c>
    </row>
    <row r="37" spans="2:39" ht="15">
      <c r="B37" s="164"/>
      <c r="C37" s="137" t="s">
        <v>25</v>
      </c>
      <c r="D37" s="138" t="s">
        <v>74</v>
      </c>
      <c r="E37" s="139" t="s">
        <v>22</v>
      </c>
      <c r="F37" s="458">
        <f>VLOOKUP(F31,ParamKM,5,FALSE)</f>
        <v>25</v>
      </c>
      <c r="G37" s="440"/>
      <c r="H37" s="439">
        <f>VLOOKUP(H31,ParamKM,5,FALSE)</f>
        <v>25</v>
      </c>
      <c r="I37" s="440"/>
      <c r="J37" s="166"/>
      <c r="M37" s="37"/>
      <c r="O37" s="19"/>
      <c r="P37" s="19"/>
      <c r="Q37" s="19"/>
      <c r="R37" s="19"/>
      <c r="AE37" s="81">
        <v>13</v>
      </c>
      <c r="AF37" s="81">
        <v>1</v>
      </c>
      <c r="AG37" s="81">
        <v>1</v>
      </c>
      <c r="AH37" s="82">
        <v>-0.021841717175414</v>
      </c>
      <c r="AI37" s="83"/>
      <c r="AJ37" s="94">
        <f t="shared" si="0"/>
        <v>0.0448505299777644</v>
      </c>
      <c r="AK37" s="94">
        <f t="shared" si="1"/>
        <v>0.06152920889162022</v>
      </c>
      <c r="AL37" s="265"/>
      <c r="AM37" s="212"/>
    </row>
    <row r="38" spans="2:40" ht="15">
      <c r="B38" s="164"/>
      <c r="C38" s="137" t="s">
        <v>27</v>
      </c>
      <c r="D38" s="138" t="s">
        <v>75</v>
      </c>
      <c r="E38" s="139" t="s">
        <v>22</v>
      </c>
      <c r="F38" s="459">
        <f>VLOOKUP(F32,ParamKM,5,FALSE)</f>
        <v>50</v>
      </c>
      <c r="G38" s="442"/>
      <c r="H38" s="441">
        <f>VLOOKUP(H32,ParamKM,5,FALSE)</f>
        <v>200</v>
      </c>
      <c r="I38" s="442"/>
      <c r="J38" s="166"/>
      <c r="M38" s="37"/>
      <c r="O38" s="19"/>
      <c r="P38" s="19"/>
      <c r="Q38" s="19"/>
      <c r="R38" s="19"/>
      <c r="AE38" s="81">
        <v>14</v>
      </c>
      <c r="AF38" s="81">
        <v>1</v>
      </c>
      <c r="AG38" s="81">
        <v>3</v>
      </c>
      <c r="AH38" s="82">
        <v>-5.283835796993E-05</v>
      </c>
      <c r="AI38" s="83"/>
      <c r="AJ38" s="94">
        <f t="shared" si="0"/>
        <v>0.00045750064743828984</v>
      </c>
      <c r="AK38" s="94">
        <f t="shared" si="1"/>
        <v>0.0011812259215529407</v>
      </c>
      <c r="AL38" s="265"/>
      <c r="AM38" s="212"/>
      <c r="AN38" s="1" t="s">
        <v>24</v>
      </c>
    </row>
    <row r="39" spans="2:40" ht="15.75">
      <c r="B39" s="164"/>
      <c r="C39" s="137" t="s">
        <v>32</v>
      </c>
      <c r="D39" s="140" t="s">
        <v>82</v>
      </c>
      <c r="E39" s="139" t="s">
        <v>33</v>
      </c>
      <c r="F39" s="485">
        <f>VLOOKUP(F31,ParamKM,4,FALSE)</f>
        <v>5.6127405035765</v>
      </c>
      <c r="G39" s="483"/>
      <c r="H39" s="482">
        <f>VLOOKUP(H31,ParamKM,4,FALSE)</f>
        <v>5.6127405035765</v>
      </c>
      <c r="I39" s="483"/>
      <c r="J39" s="166"/>
      <c r="M39" s="447" t="s">
        <v>144</v>
      </c>
      <c r="N39" s="448"/>
      <c r="O39" s="448"/>
      <c r="P39" s="448"/>
      <c r="Q39" s="449"/>
      <c r="R39" s="19"/>
      <c r="AE39" s="81">
        <v>15</v>
      </c>
      <c r="AF39" s="81">
        <v>2</v>
      </c>
      <c r="AG39" s="81">
        <v>-3</v>
      </c>
      <c r="AH39" s="82">
        <v>-0.00047184321073267</v>
      </c>
      <c r="AI39" s="83"/>
      <c r="AJ39" s="94">
        <f t="shared" si="0"/>
        <v>0.0007703996408033757</v>
      </c>
      <c r="AK39" s="94">
        <f t="shared" si="1"/>
        <v>0.00029890941788611274</v>
      </c>
      <c r="AL39" s="265"/>
      <c r="AM39" s="212"/>
      <c r="AN39" s="1" t="s">
        <v>26</v>
      </c>
    </row>
    <row r="40" spans="2:40" ht="16.5" thickBot="1">
      <c r="B40" s="164"/>
      <c r="C40" s="141" t="s">
        <v>35</v>
      </c>
      <c r="D40" s="142" t="s">
        <v>83</v>
      </c>
      <c r="E40" s="143" t="s">
        <v>33</v>
      </c>
      <c r="F40" s="460">
        <f>VLOOKUP(F32,ParamKM,4,FALSE)</f>
        <v>36.86989764584402</v>
      </c>
      <c r="G40" s="461"/>
      <c r="H40" s="484">
        <f>VLOOKUP(H32,ParamKM,4,FALSE)</f>
        <v>76.58032638448613</v>
      </c>
      <c r="I40" s="461"/>
      <c r="J40" s="166"/>
      <c r="M40" s="463" t="s">
        <v>141</v>
      </c>
      <c r="N40" s="463"/>
      <c r="O40" s="463"/>
      <c r="P40" s="463"/>
      <c r="Q40" s="463"/>
      <c r="R40" s="19"/>
      <c r="AE40" s="81">
        <v>16</v>
      </c>
      <c r="AF40" s="81">
        <v>2</v>
      </c>
      <c r="AG40" s="81">
        <v>0</v>
      </c>
      <c r="AH40" s="82">
        <v>-0.00030001780793026</v>
      </c>
      <c r="AI40" s="83"/>
      <c r="AJ40" s="94">
        <f t="shared" si="0"/>
        <v>0.0042413859650821195</v>
      </c>
      <c r="AK40" s="94">
        <f t="shared" si="1"/>
        <v>0.004248861532215686</v>
      </c>
      <c r="AL40" s="265"/>
      <c r="AM40" s="212"/>
      <c r="AN40" s="1" t="s">
        <v>28</v>
      </c>
    </row>
    <row r="41" spans="2:40" ht="15.75" thickBot="1">
      <c r="B41" s="164"/>
      <c r="C41" s="389" t="s">
        <v>115</v>
      </c>
      <c r="D41" s="390"/>
      <c r="E41" s="390"/>
      <c r="F41" s="390"/>
      <c r="G41" s="390"/>
      <c r="H41" s="390"/>
      <c r="I41" s="464"/>
      <c r="J41" s="166"/>
      <c r="M41" s="156">
        <v>20</v>
      </c>
      <c r="N41" s="200">
        <v>-0.0002468531468531668</v>
      </c>
      <c r="O41" s="200">
        <v>0.0002319347319347367</v>
      </c>
      <c r="P41" s="200">
        <v>0.009702564102564105</v>
      </c>
      <c r="Q41" s="200">
        <v>-0.00039440559440559475</v>
      </c>
      <c r="R41" s="19"/>
      <c r="AE41" s="81">
        <v>17</v>
      </c>
      <c r="AF41" s="81">
        <v>2</v>
      </c>
      <c r="AG41" s="81">
        <v>1</v>
      </c>
      <c r="AH41" s="82">
        <v>4.7661393906987E-05</v>
      </c>
      <c r="AI41" s="83"/>
      <c r="AJ41" s="94">
        <f t="shared" si="0"/>
        <v>-0.0013835928244697565</v>
      </c>
      <c r="AK41" s="94">
        <f t="shared" si="1"/>
        <v>-0.001901458433140874</v>
      </c>
      <c r="AL41" s="265"/>
      <c r="AM41" s="212"/>
      <c r="AN41" s="1" t="s">
        <v>30</v>
      </c>
    </row>
    <row r="42" spans="2:39" ht="15.75">
      <c r="B42" s="164"/>
      <c r="C42" s="144" t="s">
        <v>91</v>
      </c>
      <c r="D42" s="145" t="s">
        <v>37</v>
      </c>
      <c r="E42" s="146" t="s">
        <v>38</v>
      </c>
      <c r="F42" s="475">
        <f>1/N29*1000</f>
        <v>917.0314080413776</v>
      </c>
      <c r="G42" s="475"/>
      <c r="H42" s="475">
        <f>1/O29*1000</f>
        <v>977.8727962241064</v>
      </c>
      <c r="I42" s="475"/>
      <c r="J42" s="166"/>
      <c r="M42" s="156">
        <v>32</v>
      </c>
      <c r="N42" s="200">
        <v>-0.0002139860139860159</v>
      </c>
      <c r="O42" s="200">
        <v>0.0017598290598290689</v>
      </c>
      <c r="P42" s="200">
        <v>0.0025531468531468492</v>
      </c>
      <c r="Q42" s="200">
        <v>-4.491064491064453E-05</v>
      </c>
      <c r="R42" s="19"/>
      <c r="AE42" s="81">
        <v>18</v>
      </c>
      <c r="AF42" s="81">
        <v>2</v>
      </c>
      <c r="AG42" s="81">
        <v>3</v>
      </c>
      <c r="AH42" s="82">
        <v>-4.4141845330846E-06</v>
      </c>
      <c r="AI42" s="83"/>
      <c r="AJ42" s="94">
        <f t="shared" si="0"/>
        <v>0.0005403232384554148</v>
      </c>
      <c r="AK42" s="94">
        <f t="shared" si="1"/>
        <v>0.0013975253200201351</v>
      </c>
      <c r="AL42" s="265"/>
      <c r="AM42" s="212"/>
    </row>
    <row r="43" spans="2:40" ht="15">
      <c r="B43" s="164"/>
      <c r="C43" s="137" t="s">
        <v>40</v>
      </c>
      <c r="D43" s="121" t="s">
        <v>41</v>
      </c>
      <c r="E43" s="130" t="s">
        <v>42</v>
      </c>
      <c r="F43" s="473">
        <f>F27*1000/F42</f>
        <v>8.636563514128449</v>
      </c>
      <c r="G43" s="473"/>
      <c r="H43" s="473">
        <f>H27*1000/H42</f>
        <v>3.3746720562658075</v>
      </c>
      <c r="I43" s="473"/>
      <c r="J43" s="166"/>
      <c r="M43" s="156">
        <v>40</v>
      </c>
      <c r="N43" s="200">
        <v>-6.293706293706433E-05</v>
      </c>
      <c r="O43" s="200">
        <v>0.00117637917637918</v>
      </c>
      <c r="P43" s="200">
        <v>0.001393939393939393</v>
      </c>
      <c r="Q43" s="200">
        <v>3.108003108003199E-06</v>
      </c>
      <c r="R43" s="19"/>
      <c r="AE43" s="81">
        <v>19</v>
      </c>
      <c r="AF43" s="81">
        <v>2</v>
      </c>
      <c r="AG43" s="81">
        <v>17</v>
      </c>
      <c r="AH43" s="82">
        <v>-7.2694996297594E-16</v>
      </c>
      <c r="AI43" s="83"/>
      <c r="AJ43" s="94">
        <f t="shared" si="0"/>
        <v>2.1088169382365615E-09</v>
      </c>
      <c r="AK43" s="94">
        <f t="shared" si="1"/>
        <v>4.561812671320643E-07</v>
      </c>
      <c r="AL43" s="265"/>
      <c r="AM43" s="212"/>
      <c r="AN43" s="1" t="s">
        <v>31</v>
      </c>
    </row>
    <row r="44" spans="2:40" ht="15">
      <c r="B44" s="164"/>
      <c r="C44" s="137" t="s">
        <v>44</v>
      </c>
      <c r="D44" s="138" t="s">
        <v>45</v>
      </c>
      <c r="E44" s="139" t="s">
        <v>46</v>
      </c>
      <c r="F44" s="473">
        <f>(F43/3.6)/((PI()*F36^2)/4000)</f>
        <v>7.636398747781405</v>
      </c>
      <c r="G44" s="473"/>
      <c r="H44" s="473">
        <f>(H43/3.6)/((PI()*H36^2)/4000)</f>
        <v>2.9838652170488555</v>
      </c>
      <c r="I44" s="473"/>
      <c r="J44" s="166"/>
      <c r="M44" s="156">
        <v>50</v>
      </c>
      <c r="N44" s="200">
        <v>-6.293706293706433E-05</v>
      </c>
      <c r="O44" s="200">
        <v>0.00117637917637918</v>
      </c>
      <c r="P44" s="200">
        <v>0.001393939393939393</v>
      </c>
      <c r="Q44" s="200">
        <v>3.108003108003199E-06</v>
      </c>
      <c r="R44" s="19"/>
      <c r="AE44" s="81">
        <v>20</v>
      </c>
      <c r="AF44" s="81">
        <v>3</v>
      </c>
      <c r="AG44" s="81">
        <v>-4</v>
      </c>
      <c r="AH44" s="82">
        <v>-3.1679644845054E-05</v>
      </c>
      <c r="AI44" s="83"/>
      <c r="AJ44" s="94">
        <f t="shared" si="0"/>
        <v>0.00026707909135899267</v>
      </c>
      <c r="AK44" s="94">
        <f t="shared" si="1"/>
        <v>7.56683821016007E-05</v>
      </c>
      <c r="AL44" s="265"/>
      <c r="AM44" s="212"/>
      <c r="AN44" s="1" t="s">
        <v>34</v>
      </c>
    </row>
    <row r="45" spans="2:40" ht="15">
      <c r="B45" s="164"/>
      <c r="C45" s="137" t="s">
        <v>48</v>
      </c>
      <c r="D45" s="138" t="s">
        <v>49</v>
      </c>
      <c r="E45" s="139" t="s">
        <v>46</v>
      </c>
      <c r="F45" s="473">
        <f>(F43/3.6)/((PI()*F37^2)/4000)</f>
        <v>4.887295198580099</v>
      </c>
      <c r="G45" s="473"/>
      <c r="H45" s="473">
        <f>(H43/3.6)/((PI()*H37^2)/4000)</f>
        <v>1.9096737389112677</v>
      </c>
      <c r="I45" s="473"/>
      <c r="J45" s="166"/>
      <c r="M45" s="156">
        <v>65</v>
      </c>
      <c r="N45" s="200">
        <v>-7.62237762237754E-05</v>
      </c>
      <c r="O45" s="200">
        <v>0.0006231546231546242</v>
      </c>
      <c r="P45" s="200">
        <v>0.001742424242424242</v>
      </c>
      <c r="Q45" s="200">
        <v>-4.18026418026418E-05</v>
      </c>
      <c r="R45" s="19"/>
      <c r="AE45" s="81">
        <v>21</v>
      </c>
      <c r="AF45" s="81">
        <v>3</v>
      </c>
      <c r="AG45" s="81">
        <v>0</v>
      </c>
      <c r="AH45" s="82">
        <v>-2.8270797985312E-06</v>
      </c>
      <c r="AI45" s="83"/>
      <c r="AJ45" s="94">
        <f t="shared" si="0"/>
        <v>0.00042376087181279407</v>
      </c>
      <c r="AK45" s="94">
        <f t="shared" si="1"/>
        <v>0.0004252559701550265</v>
      </c>
      <c r="AL45" s="265"/>
      <c r="AM45" s="212"/>
      <c r="AN45" s="1" t="s">
        <v>18</v>
      </c>
    </row>
    <row r="46" spans="2:40" ht="15.75" thickBot="1">
      <c r="B46" s="164"/>
      <c r="C46" s="137" t="s">
        <v>51</v>
      </c>
      <c r="D46" s="138" t="s">
        <v>52</v>
      </c>
      <c r="E46" s="139" t="s">
        <v>46</v>
      </c>
      <c r="F46" s="474">
        <f>(F43/3.6)/((PI()*F38^2)/4000)</f>
        <v>1.2218237996450247</v>
      </c>
      <c r="G46" s="474"/>
      <c r="H46" s="474">
        <f>(H43/3.6)/((PI()*H38^2)/4000)</f>
        <v>0.029838652170488558</v>
      </c>
      <c r="I46" s="474"/>
      <c r="J46" s="166"/>
      <c r="M46" s="156">
        <v>80</v>
      </c>
      <c r="N46" s="200">
        <v>-7.62237762237754E-05</v>
      </c>
      <c r="O46" s="200">
        <v>0.0006231546231546242</v>
      </c>
      <c r="P46" s="200">
        <v>0.001742424242424242</v>
      </c>
      <c r="Q46" s="200">
        <v>-4.18026418026418E-05</v>
      </c>
      <c r="R46" s="19"/>
      <c r="AE46" s="81">
        <v>22</v>
      </c>
      <c r="AF46" s="81">
        <v>3</v>
      </c>
      <c r="AG46" s="81">
        <v>6</v>
      </c>
      <c r="AH46" s="82">
        <v>-8.5205128120103E-10</v>
      </c>
      <c r="AI46" s="83"/>
      <c r="AJ46" s="94">
        <f t="shared" si="0"/>
        <v>9.5748795721212E-06</v>
      </c>
      <c r="AK46" s="94">
        <f t="shared" si="1"/>
        <v>6.40538735281501E-05</v>
      </c>
      <c r="AL46" s="265"/>
      <c r="AM46" s="212"/>
      <c r="AN46" s="1" t="s">
        <v>36</v>
      </c>
    </row>
    <row r="47" spans="2:40" ht="15.75" thickBot="1">
      <c r="B47" s="164"/>
      <c r="C47" s="465" t="s">
        <v>146</v>
      </c>
      <c r="D47" s="466"/>
      <c r="E47" s="466"/>
      <c r="F47" s="466"/>
      <c r="G47" s="466"/>
      <c r="H47" s="466"/>
      <c r="I47" s="467"/>
      <c r="J47" s="166"/>
      <c r="M47" s="156">
        <v>100</v>
      </c>
      <c r="N47" s="200">
        <v>-9.523809523806885E-06</v>
      </c>
      <c r="O47" s="200">
        <v>0.0005158730158730156</v>
      </c>
      <c r="P47" s="200">
        <v>0.0011226190476190472</v>
      </c>
      <c r="Q47" s="200">
        <v>-2.7777777777776928E-06</v>
      </c>
      <c r="R47" s="19"/>
      <c r="AE47" s="81">
        <v>23</v>
      </c>
      <c r="AF47" s="81">
        <v>4</v>
      </c>
      <c r="AG47" s="81">
        <v>-5</v>
      </c>
      <c r="AH47" s="82">
        <v>-2.2425281908E-06</v>
      </c>
      <c r="AI47" s="83"/>
      <c r="AJ47" s="94">
        <f t="shared" si="0"/>
        <v>8.6773317055746E-05</v>
      </c>
      <c r="AK47" s="94">
        <f t="shared" si="1"/>
        <v>1.795195655857822E-05</v>
      </c>
      <c r="AL47" s="265"/>
      <c r="AM47" s="212"/>
      <c r="AN47" s="1" t="s">
        <v>39</v>
      </c>
    </row>
    <row r="48" spans="2:39" ht="15">
      <c r="B48" s="164"/>
      <c r="C48" s="258" t="s">
        <v>61</v>
      </c>
      <c r="D48" s="14"/>
      <c r="E48" s="15"/>
      <c r="F48" s="476"/>
      <c r="G48" s="476"/>
      <c r="H48" s="476"/>
      <c r="I48" s="476"/>
      <c r="J48" s="167"/>
      <c r="K48" s="37"/>
      <c r="M48" s="189"/>
      <c r="N48" s="190"/>
      <c r="O48" s="190"/>
      <c r="P48" s="190"/>
      <c r="Q48" s="190"/>
      <c r="R48" s="19"/>
      <c r="AE48" s="81">
        <v>24</v>
      </c>
      <c r="AF48" s="81">
        <v>4</v>
      </c>
      <c r="AG48" s="81">
        <v>-2</v>
      </c>
      <c r="AH48" s="82">
        <v>-6.5171222895601E-07</v>
      </c>
      <c r="AI48" s="83"/>
      <c r="AJ48" s="94">
        <f t="shared" si="0"/>
        <v>0.0002183466628441264</v>
      </c>
      <c r="AK48" s="94">
        <f t="shared" si="1"/>
        <v>0.00011663084005409488</v>
      </c>
      <c r="AL48" s="265"/>
      <c r="AM48" s="212"/>
    </row>
    <row r="49" spans="2:93" ht="19.5">
      <c r="B49" s="164"/>
      <c r="C49" s="137" t="s">
        <v>63</v>
      </c>
      <c r="D49" s="301" t="s">
        <v>85</v>
      </c>
      <c r="E49" s="139"/>
      <c r="F49" s="477">
        <f>IF(F39=0,0,(F52/(8*SIN(RADIANS(F39/2))))*(1-(F36/F37)^4))</f>
        <v>0.07987374872010888</v>
      </c>
      <c r="G49" s="478"/>
      <c r="H49" s="477">
        <f>IF(H39=0,0,(H52/(8*SIN(RADIANS(H39/2))))*(1-(H36/H37)^4))</f>
        <v>0.07987374872010888</v>
      </c>
      <c r="I49" s="479"/>
      <c r="J49" s="167"/>
      <c r="K49" s="2"/>
      <c r="L49" s="155"/>
      <c r="M49" s="190"/>
      <c r="N49" s="190"/>
      <c r="O49" s="190"/>
      <c r="P49" s="190"/>
      <c r="Q49" s="190"/>
      <c r="R49" s="26"/>
      <c r="S49" s="2"/>
      <c r="T49" s="2"/>
      <c r="U49" s="2"/>
      <c r="V49" s="2"/>
      <c r="AD49" s="2"/>
      <c r="AE49" s="81">
        <v>25</v>
      </c>
      <c r="AF49" s="81">
        <v>4</v>
      </c>
      <c r="AG49" s="81">
        <v>10</v>
      </c>
      <c r="AH49" s="82">
        <v>-1.4341729937924E-13</v>
      </c>
      <c r="AI49" s="83"/>
      <c r="AJ49" s="94">
        <f t="shared" si="0"/>
        <v>2.700609738183687E-07</v>
      </c>
      <c r="AK49" s="94">
        <f t="shared" si="1"/>
        <v>6.4105264688239095E-06</v>
      </c>
      <c r="AL49" s="265"/>
      <c r="AM49" s="212"/>
      <c r="AN49" s="1" t="s">
        <v>50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64"/>
      <c r="C50" s="137" t="s">
        <v>65</v>
      </c>
      <c r="D50" s="316" t="s">
        <v>121</v>
      </c>
      <c r="E50" s="139" t="s">
        <v>66</v>
      </c>
      <c r="F50" s="480">
        <f>F49*F44^2/(2*9.81)</f>
        <v>0.23740084483748156</v>
      </c>
      <c r="G50" s="492"/>
      <c r="H50" s="480">
        <f>H49*H44^2/(2*9.81)</f>
        <v>0.03624628228934461</v>
      </c>
      <c r="I50" s="481"/>
      <c r="J50" s="168"/>
      <c r="K50" s="3"/>
      <c r="L50" s="155"/>
      <c r="M50" s="190"/>
      <c r="N50" s="191">
        <f ca="1">OFFSET(InterpolCoeff,MATCH(H36,InterpolCoeff,0)-1,1,1,1)</f>
        <v>-0.0002468531468531668</v>
      </c>
      <c r="O50" s="190">
        <f ca="1">OFFSET(InterpolCoeff,MATCH(H36,InterpolCoeff,0)-1,2,1,1)</f>
        <v>0.0002319347319347367</v>
      </c>
      <c r="P50" s="190">
        <f ca="1">OFFSET(InterpolCoeff,MATCH(H36,InterpolCoeff,0)-1,3,1,1)</f>
        <v>0.009702564102564105</v>
      </c>
      <c r="Q50" s="190">
        <f ca="1">OFFSET(InterpolCoeff,MATCH(H36,InterpolCoeff,0)-1,4,1,1)</f>
        <v>-0.00039440559440559475</v>
      </c>
      <c r="R50" s="27"/>
      <c r="S50" s="3"/>
      <c r="T50" s="3"/>
      <c r="U50" s="3"/>
      <c r="V50" s="3"/>
      <c r="AD50" s="3"/>
      <c r="AE50" s="81">
        <v>26</v>
      </c>
      <c r="AF50" s="81">
        <v>5</v>
      </c>
      <c r="AG50" s="81">
        <v>-8</v>
      </c>
      <c r="AH50" s="82">
        <v>-4.0516996860117E-07</v>
      </c>
      <c r="AI50" s="83"/>
      <c r="AJ50" s="94">
        <f t="shared" si="0"/>
        <v>1.5998671252616105E-05</v>
      </c>
      <c r="AK50" s="94">
        <f t="shared" si="1"/>
        <v>1.2842010800129734E-06</v>
      </c>
      <c r="AL50" s="265"/>
      <c r="AM50" s="212"/>
      <c r="AN50" s="1" t="s">
        <v>53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5.75">
      <c r="B51" s="164"/>
      <c r="C51" s="147" t="s">
        <v>140</v>
      </c>
      <c r="D51" s="322"/>
      <c r="E51" s="16"/>
      <c r="F51" s="493"/>
      <c r="G51" s="493"/>
      <c r="H51" s="493"/>
      <c r="I51" s="494"/>
      <c r="J51" s="169"/>
      <c r="K51" s="4"/>
      <c r="L51" s="155"/>
      <c r="M51" s="190"/>
      <c r="N51" s="192"/>
      <c r="O51" s="195"/>
      <c r="P51" s="195"/>
      <c r="Q51" s="195"/>
      <c r="R51" s="28"/>
      <c r="S51" s="4"/>
      <c r="T51" s="4"/>
      <c r="U51" s="4"/>
      <c r="V51" s="4"/>
      <c r="AD51" s="4"/>
      <c r="AE51" s="81">
        <v>27</v>
      </c>
      <c r="AF51" s="81">
        <v>8</v>
      </c>
      <c r="AG51" s="81">
        <v>-11</v>
      </c>
      <c r="AH51" s="82">
        <v>-1.2734301741641E-09</v>
      </c>
      <c r="AI51" s="83"/>
      <c r="AJ51" s="94">
        <f t="shared" si="0"/>
        <v>3.2816456363908134E-06</v>
      </c>
      <c r="AK51" s="94">
        <f t="shared" si="1"/>
        <v>1.025637501668181E-07</v>
      </c>
      <c r="AL51" s="265"/>
      <c r="AM51" s="212"/>
      <c r="AN51" s="1" t="s">
        <v>56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5.75">
      <c r="B52" s="164"/>
      <c r="C52" s="148" t="s">
        <v>90</v>
      </c>
      <c r="D52" s="318" t="s">
        <v>68</v>
      </c>
      <c r="E52" s="139"/>
      <c r="F52" s="477">
        <f>1/(1.14+2*LOG((F36/F33),10))^2</f>
        <v>0.05299029978348444</v>
      </c>
      <c r="G52" s="478"/>
      <c r="H52" s="477">
        <f>1/(1.14+2*LOG((H36/H33),10))^2</f>
        <v>0.05299029978348444</v>
      </c>
      <c r="I52" s="479"/>
      <c r="J52" s="169"/>
      <c r="K52" s="4"/>
      <c r="L52" s="155"/>
      <c r="M52" s="192"/>
      <c r="N52" s="192"/>
      <c r="O52" s="196"/>
      <c r="P52" s="196"/>
      <c r="Q52" s="196"/>
      <c r="R52" s="28"/>
      <c r="S52" s="4"/>
      <c r="T52" s="4"/>
      <c r="U52" s="4"/>
      <c r="V52" s="4"/>
      <c r="AD52" s="4"/>
      <c r="AE52" s="81">
        <v>28</v>
      </c>
      <c r="AF52" s="81">
        <v>8</v>
      </c>
      <c r="AG52" s="81">
        <v>-6</v>
      </c>
      <c r="AH52" s="82">
        <v>-1.7424871230634E-10</v>
      </c>
      <c r="AI52" s="83"/>
      <c r="AJ52" s="94">
        <f t="shared" si="0"/>
        <v>1.6394196036868107E-05</v>
      </c>
      <c r="AK52" s="94">
        <f t="shared" si="1"/>
        <v>2.4897806831444964E-06</v>
      </c>
      <c r="AL52" s="265"/>
      <c r="AM52" s="212"/>
      <c r="AN52" s="1" t="s">
        <v>43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19.5">
      <c r="B53" s="164"/>
      <c r="C53" s="137" t="s">
        <v>145</v>
      </c>
      <c r="D53" s="316" t="s">
        <v>208</v>
      </c>
      <c r="E53" s="139" t="s">
        <v>66</v>
      </c>
      <c r="F53" s="480">
        <f>$F$52*F34*F44^2/($F$36*2*9.81)+IF(F68="L",F69,0)</f>
        <v>2.0159721982646976</v>
      </c>
      <c r="G53" s="492"/>
      <c r="H53" s="480">
        <f>$H$52*H34*H44^2/($H$36*2*9.81)+IF(G68="L",G69,0)</f>
        <v>0.30779796691876</v>
      </c>
      <c r="I53" s="481"/>
      <c r="J53" s="167"/>
      <c r="K53" s="2"/>
      <c r="L53" s="155"/>
      <c r="M53" s="199"/>
      <c r="N53" s="192"/>
      <c r="O53" s="194"/>
      <c r="P53" s="194"/>
      <c r="Q53" s="194"/>
      <c r="R53" s="29"/>
      <c r="S53" s="5"/>
      <c r="T53" s="5"/>
      <c r="U53" s="5"/>
      <c r="V53" s="5"/>
      <c r="AD53" s="5"/>
      <c r="AE53" s="81">
        <v>29</v>
      </c>
      <c r="AF53" s="81">
        <v>21</v>
      </c>
      <c r="AG53" s="81">
        <v>-29</v>
      </c>
      <c r="AH53" s="82">
        <v>-6.8762131295531E-19</v>
      </c>
      <c r="AI53" s="83"/>
      <c r="AJ53" s="94">
        <f t="shared" si="0"/>
        <v>1.2140616377536388E-09</v>
      </c>
      <c r="AK53" s="94">
        <f t="shared" si="1"/>
        <v>1.3105017031256584E-13</v>
      </c>
      <c r="AL53" s="265"/>
      <c r="AM53" s="212"/>
      <c r="AN53" s="1" t="s">
        <v>47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">
      <c r="B54" s="164"/>
      <c r="C54" s="149" t="s">
        <v>69</v>
      </c>
      <c r="D54" s="324"/>
      <c r="E54" s="17"/>
      <c r="F54" s="495"/>
      <c r="G54" s="495"/>
      <c r="H54" s="495"/>
      <c r="I54" s="496"/>
      <c r="J54" s="166"/>
      <c r="L54" s="155"/>
      <c r="M54" s="190"/>
      <c r="N54" s="192"/>
      <c r="O54" s="194"/>
      <c r="P54" s="194"/>
      <c r="Q54" s="194"/>
      <c r="R54" s="29"/>
      <c r="S54" s="5"/>
      <c r="T54" s="5"/>
      <c r="U54" s="5"/>
      <c r="V54" s="5"/>
      <c r="AD54" s="5"/>
      <c r="AE54" s="81">
        <v>30</v>
      </c>
      <c r="AF54" s="81">
        <v>23</v>
      </c>
      <c r="AG54" s="81">
        <v>-31</v>
      </c>
      <c r="AH54" s="82">
        <v>1.4478307828521E-20</v>
      </c>
      <c r="AI54" s="83"/>
      <c r="AJ54" s="94">
        <f t="shared" si="0"/>
        <v>-3.31755159481555E-10</v>
      </c>
      <c r="AK54" s="94">
        <f t="shared" si="1"/>
        <v>-1.9094865390959E-14</v>
      </c>
      <c r="AL54" s="265"/>
      <c r="AM54" s="212"/>
      <c r="AN54" s="1" t="s">
        <v>211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64"/>
      <c r="C55" s="137" t="s">
        <v>86</v>
      </c>
      <c r="D55" s="301" t="s">
        <v>84</v>
      </c>
      <c r="E55" s="139"/>
      <c r="F55" s="488">
        <f>3.2*TAN(RADIANS($F$40/2))^1.25*(1-($F$36/F38)^2)^2</f>
        <v>0.5718827304488145</v>
      </c>
      <c r="G55" s="497"/>
      <c r="H55" s="488">
        <f>3.2*TAN(RADIANS($H$40/2))^1.25*(1-($H$36/H38)^2)^2</f>
        <v>2.3339547947182737</v>
      </c>
      <c r="I55" s="489"/>
      <c r="J55" s="166"/>
      <c r="L55" s="155"/>
      <c r="M55" s="191"/>
      <c r="N55" s="192"/>
      <c r="O55" s="193"/>
      <c r="P55" s="193"/>
      <c r="Q55" s="193"/>
      <c r="R55" s="29"/>
      <c r="S55" s="5"/>
      <c r="T55" s="5"/>
      <c r="U55" s="5"/>
      <c r="V55" s="5"/>
      <c r="AD55" s="5"/>
      <c r="AE55" s="81">
        <v>31</v>
      </c>
      <c r="AF55" s="81">
        <v>29</v>
      </c>
      <c r="AG55" s="81">
        <v>-38</v>
      </c>
      <c r="AH55" s="82">
        <v>2.6335781662795E-23</v>
      </c>
      <c r="AI55" s="83"/>
      <c r="AJ55" s="94">
        <f t="shared" si="0"/>
        <v>-6.165030768409244E-10</v>
      </c>
      <c r="AK55" s="94">
        <f t="shared" si="1"/>
        <v>-3.921268657575301E-15</v>
      </c>
      <c r="AL55" s="265"/>
      <c r="AM55" s="212"/>
      <c r="AN55" s="1" t="s">
        <v>213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19.5">
      <c r="B56" s="164"/>
      <c r="C56" s="137" t="s">
        <v>92</v>
      </c>
      <c r="D56" s="301" t="s">
        <v>85</v>
      </c>
      <c r="E56" s="130"/>
      <c r="F56" s="477">
        <f>IF(F40=0,0,F52/(8*SIN(RADIANS(F40/2)))*(1-(F36/F38)^4))</f>
        <v>0.020410031019492268</v>
      </c>
      <c r="G56" s="478"/>
      <c r="H56" s="477">
        <f>IF(H40=0,0,H52/(8*SIN(RADIANS(H40/2)))*(1-(H36/H38)^4))</f>
        <v>0.010688592174998547</v>
      </c>
      <c r="I56" s="479"/>
      <c r="J56" s="166"/>
      <c r="L56" s="155"/>
      <c r="M56" s="191"/>
      <c r="N56" s="192"/>
      <c r="O56" s="193"/>
      <c r="P56" s="193"/>
      <c r="Q56" s="193"/>
      <c r="R56" s="29"/>
      <c r="S56" s="5"/>
      <c r="T56" s="5"/>
      <c r="U56" s="5"/>
      <c r="V56" s="5"/>
      <c r="AD56" s="5"/>
      <c r="AE56" s="81">
        <v>32</v>
      </c>
      <c r="AF56" s="81">
        <v>30</v>
      </c>
      <c r="AG56" s="81">
        <v>-39</v>
      </c>
      <c r="AH56" s="82">
        <v>-1.1947622640071E-23</v>
      </c>
      <c r="AI56" s="83"/>
      <c r="AJ56" s="94">
        <f t="shared" si="0"/>
        <v>9.959642620663434E-10</v>
      </c>
      <c r="AK56" s="94">
        <f t="shared" si="1"/>
        <v>4.625792373343244E-15</v>
      </c>
      <c r="AL56" s="265"/>
      <c r="AM56" s="21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19.5">
      <c r="B57" s="164"/>
      <c r="C57" s="150" t="s">
        <v>70</v>
      </c>
      <c r="D57" s="300" t="s">
        <v>122</v>
      </c>
      <c r="E57" s="151" t="s">
        <v>66</v>
      </c>
      <c r="F57" s="480">
        <f>(F55+$F$56)*F44^2/(2*9.81)</f>
        <v>1.7604132047993013</v>
      </c>
      <c r="G57" s="492"/>
      <c r="H57" s="480">
        <f>(H55+$H$56)*H44^2/(2*9.81)</f>
        <v>1.0639866968931055</v>
      </c>
      <c r="I57" s="481"/>
      <c r="J57" s="170"/>
      <c r="K57" s="6"/>
      <c r="L57" s="155"/>
      <c r="M57" s="191"/>
      <c r="N57" s="192"/>
      <c r="O57" s="193"/>
      <c r="P57" s="193"/>
      <c r="Q57" s="193"/>
      <c r="R57" s="30"/>
      <c r="S57" s="6"/>
      <c r="T57" s="6"/>
      <c r="U57" s="6"/>
      <c r="V57" s="6"/>
      <c r="AD57" s="6"/>
      <c r="AE57" s="81">
        <v>33</v>
      </c>
      <c r="AF57" s="81">
        <v>31</v>
      </c>
      <c r="AG57" s="81">
        <v>-40</v>
      </c>
      <c r="AH57" s="82">
        <v>1.8228094581404E-24</v>
      </c>
      <c r="AI57" s="83"/>
      <c r="AJ57" s="94">
        <f t="shared" si="0"/>
        <v>-5.404978067412299E-10</v>
      </c>
      <c r="AK57" s="94">
        <f t="shared" si="1"/>
        <v>-1.8331050243092265E-15</v>
      </c>
      <c r="AL57" s="265"/>
      <c r="AM57" s="212"/>
      <c r="AN57" s="1" t="s">
        <v>59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6.5" thickBot="1">
      <c r="B58" s="164"/>
      <c r="C58" s="259" t="s">
        <v>71</v>
      </c>
      <c r="D58" s="45"/>
      <c r="E58" s="18" t="s">
        <v>72</v>
      </c>
      <c r="F58" s="486">
        <f>F57+F53+F50</f>
        <v>4.01378624790148</v>
      </c>
      <c r="G58" s="487"/>
      <c r="H58" s="486">
        <f>H57+H53+H50</f>
        <v>1.4080309461012102</v>
      </c>
      <c r="I58" s="490"/>
      <c r="J58" s="166"/>
      <c r="L58" s="155"/>
      <c r="M58" s="192"/>
      <c r="N58" s="192"/>
      <c r="O58" s="193"/>
      <c r="P58" s="193"/>
      <c r="Q58" s="193"/>
      <c r="R58" s="29"/>
      <c r="S58" s="5"/>
      <c r="T58" s="5"/>
      <c r="U58" s="5"/>
      <c r="V58" s="5"/>
      <c r="AD58" s="5"/>
      <c r="AE58" s="81">
        <v>34</v>
      </c>
      <c r="AF58" s="81">
        <v>32</v>
      </c>
      <c r="AG58" s="81">
        <v>-41</v>
      </c>
      <c r="AH58" s="82">
        <v>-9.3537087292458E-26</v>
      </c>
      <c r="AI58" s="83"/>
      <c r="AJ58" s="94">
        <f t="shared" si="0"/>
        <v>9.855411327074078E-11</v>
      </c>
      <c r="AK58" s="94">
        <f t="shared" si="1"/>
        <v>2.4407269557567326E-16</v>
      </c>
      <c r="AL58" s="265"/>
      <c r="AM58" s="212"/>
      <c r="AN58" s="1" t="s">
        <v>60</v>
      </c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64"/>
      <c r="C59" s="48"/>
      <c r="D59" s="47"/>
      <c r="E59" s="18" t="s">
        <v>14</v>
      </c>
      <c r="F59" s="491">
        <f>F58/10</f>
        <v>0.401378624790148</v>
      </c>
      <c r="G59" s="491"/>
      <c r="H59" s="491">
        <f>H58/10</f>
        <v>0.14080309461012103</v>
      </c>
      <c r="I59" s="491"/>
      <c r="J59" s="166"/>
      <c r="L59" s="155"/>
      <c r="M59" s="192"/>
      <c r="N59" s="192"/>
      <c r="O59" s="197"/>
      <c r="P59" s="197"/>
      <c r="Q59" s="197"/>
      <c r="R59" s="29"/>
      <c r="S59" s="5"/>
      <c r="T59" s="5"/>
      <c r="U59" s="5"/>
      <c r="V59" s="5"/>
      <c r="AD59" s="5"/>
      <c r="AE59" s="83"/>
      <c r="AF59" s="83"/>
      <c r="AG59" s="84" t="s">
        <v>105</v>
      </c>
      <c r="AH59">
        <v>0.461526</v>
      </c>
      <c r="AI59" s="83"/>
      <c r="AJ59" s="86">
        <f>SUM(AJ33:AJ58)</f>
        <v>0.09229924021143454</v>
      </c>
      <c r="AK59" s="86">
        <f>SUM(AK33:AK58)</f>
        <v>0.10673585021836357</v>
      </c>
      <c r="AL59" s="212"/>
      <c r="AM59" s="212"/>
      <c r="AN59" s="1" t="s">
        <v>62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64"/>
      <c r="C60" s="48"/>
      <c r="D60" s="48"/>
      <c r="E60" s="48"/>
      <c r="F60" s="48"/>
      <c r="G60" s="48"/>
      <c r="H60" s="48"/>
      <c r="I60" s="48"/>
      <c r="J60" s="166"/>
      <c r="N60" s="192"/>
      <c r="O60" s="193"/>
      <c r="P60" s="193"/>
      <c r="Q60" s="193"/>
      <c r="R60" s="29"/>
      <c r="S60" s="5"/>
      <c r="T60" s="5"/>
      <c r="U60" s="5"/>
      <c r="V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1" t="s">
        <v>64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64"/>
      <c r="C61" s="48"/>
      <c r="D61" s="48"/>
      <c r="E61" s="48"/>
      <c r="F61" s="48"/>
      <c r="G61" s="48"/>
      <c r="H61" s="48"/>
      <c r="I61" s="48"/>
      <c r="J61" s="166"/>
      <c r="L61" s="46"/>
      <c r="M61" s="192"/>
      <c r="N61" s="192"/>
      <c r="O61" s="193"/>
      <c r="P61" s="193"/>
      <c r="Q61" s="193"/>
      <c r="R61" s="29"/>
      <c r="S61" s="5"/>
      <c r="T61" s="5"/>
      <c r="U61" s="5"/>
      <c r="V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1" t="s">
        <v>67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">
      <c r="B62" s="164"/>
      <c r="C62" s="90" t="s">
        <v>77</v>
      </c>
      <c r="D62" s="38"/>
      <c r="E62" s="38"/>
      <c r="F62" s="38"/>
      <c r="G62" s="38"/>
      <c r="H62" s="38"/>
      <c r="I62" s="38"/>
      <c r="J62" s="166"/>
      <c r="L62" s="5"/>
      <c r="M62" s="190"/>
      <c r="N62" s="190"/>
      <c r="O62" s="193"/>
      <c r="P62" s="193"/>
      <c r="Q62" s="193"/>
      <c r="R62" s="5"/>
      <c r="S62" s="5"/>
      <c r="T62" s="5"/>
      <c r="U62" s="5"/>
      <c r="V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">
      <c r="B63" s="171"/>
      <c r="C63" s="405" t="s">
        <v>79</v>
      </c>
      <c r="D63" s="405"/>
      <c r="E63" s="405"/>
      <c r="F63" s="405"/>
      <c r="G63" s="405"/>
      <c r="H63" s="405"/>
      <c r="I63" s="405"/>
      <c r="J63" s="172"/>
      <c r="K63" s="39"/>
      <c r="L63" s="40"/>
      <c r="M63" s="198"/>
      <c r="N63" s="198"/>
      <c r="O63" s="193"/>
      <c r="P63" s="193"/>
      <c r="Q63" s="193"/>
      <c r="W63" s="1"/>
      <c r="X63" s="1"/>
      <c r="Y63" s="1"/>
      <c r="Z63" s="1"/>
      <c r="AA63" s="1"/>
      <c r="AB63" s="1"/>
      <c r="AC63" s="1"/>
    </row>
    <row r="64" spans="2:23" s="20" customFormat="1" ht="15" customHeight="1">
      <c r="B64" s="173"/>
      <c r="C64" s="91" t="s">
        <v>0</v>
      </c>
      <c r="D64" s="42"/>
      <c r="E64" s="42"/>
      <c r="F64" s="42"/>
      <c r="G64" s="42"/>
      <c r="H64" s="42"/>
      <c r="I64" s="42"/>
      <c r="J64" s="174"/>
      <c r="K64" s="50"/>
      <c r="L64" s="50"/>
      <c r="M64" s="193"/>
      <c r="N64" s="194"/>
      <c r="O64" s="194"/>
      <c r="P64" s="193"/>
      <c r="Q64" s="193"/>
      <c r="W64" s="33"/>
    </row>
    <row r="65" spans="2:29" s="20" customFormat="1" ht="16.5" customHeight="1">
      <c r="B65" s="173"/>
      <c r="C65" s="175"/>
      <c r="D65" s="175"/>
      <c r="E65" s="175"/>
      <c r="F65" s="175"/>
      <c r="G65" s="175"/>
      <c r="H65" s="175"/>
      <c r="I65" s="175"/>
      <c r="J65" s="176"/>
      <c r="K65" s="42"/>
      <c r="L65" s="42"/>
      <c r="M65" s="40"/>
      <c r="N65" s="19"/>
      <c r="O65" s="19"/>
      <c r="P65" s="19"/>
      <c r="Q65" s="19"/>
      <c r="W65" s="33"/>
      <c r="X65" s="1"/>
      <c r="Y65" s="1"/>
      <c r="Z65" s="1"/>
      <c r="AA65" s="1"/>
      <c r="AB65" s="1"/>
      <c r="AC65" s="1"/>
    </row>
    <row r="66" spans="2:29" s="13" customFormat="1" ht="15" customHeight="1">
      <c r="B66" s="164"/>
      <c r="C66" s="5"/>
      <c r="D66" s="5"/>
      <c r="E66" s="5"/>
      <c r="F66" s="2"/>
      <c r="G66" s="2"/>
      <c r="H66" s="2"/>
      <c r="I66" s="2"/>
      <c r="J66" s="167"/>
      <c r="K66" s="34"/>
      <c r="M66" s="50"/>
      <c r="N66" s="41"/>
      <c r="O66" s="41"/>
      <c r="P66" s="20"/>
      <c r="Q66" s="20"/>
      <c r="W66" s="33"/>
      <c r="X66" s="1"/>
      <c r="Y66" s="1"/>
      <c r="Z66" s="1"/>
      <c r="AA66" s="1"/>
      <c r="AB66" s="1"/>
      <c r="AC66" s="1"/>
    </row>
    <row r="67" spans="2:29" s="13" customFormat="1" ht="15.75" thickBot="1">
      <c r="B67" s="179"/>
      <c r="C67" s="180"/>
      <c r="D67" s="180"/>
      <c r="E67" s="180"/>
      <c r="F67" s="181"/>
      <c r="G67" s="181"/>
      <c r="H67" s="181"/>
      <c r="I67" s="181"/>
      <c r="J67" s="182"/>
      <c r="K67" s="114"/>
      <c r="M67" s="42"/>
      <c r="N67" s="20"/>
      <c r="O67" s="20"/>
      <c r="P67" s="20"/>
      <c r="Q67" s="20"/>
      <c r="W67" s="33"/>
      <c r="X67" s="1"/>
      <c r="Y67" s="1"/>
      <c r="Z67" s="1"/>
      <c r="AA67" s="1"/>
      <c r="AB67" s="1"/>
      <c r="AC67" s="1"/>
    </row>
    <row r="68" spans="1:95" ht="12.75" hidden="1">
      <c r="A68" s="48"/>
      <c r="B68" s="48"/>
      <c r="C68" s="175"/>
      <c r="D68" s="175"/>
      <c r="E68" s="175"/>
      <c r="F68" s="98" t="str">
        <f>VLOOKUP(F30,DyPFlow,3,FALSE)</f>
        <v>S</v>
      </c>
      <c r="G68" s="98" t="str">
        <f>VLOOKUP(H30,DyPFlow,3,FALSE)</f>
        <v>S</v>
      </c>
      <c r="H68" s="98"/>
      <c r="I68" s="98"/>
      <c r="J68" s="7"/>
      <c r="K68" s="7"/>
      <c r="L68" s="7"/>
      <c r="M68" s="13"/>
      <c r="N68" s="13"/>
      <c r="O68" s="13"/>
      <c r="P68" s="13"/>
      <c r="Q68" s="13"/>
      <c r="R68" s="7"/>
      <c r="S68" s="7"/>
      <c r="T68" s="7"/>
      <c r="U68" s="7"/>
      <c r="V68" s="7"/>
      <c r="W68" s="3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5" hidden="1">
      <c r="A69" s="48"/>
      <c r="B69" s="48"/>
      <c r="C69" s="48"/>
      <c r="D69" s="48"/>
      <c r="E69" s="48"/>
      <c r="F69" s="177">
        <f ca="1">OFFSET(InterpolCoeff,MATCH(F36,InterpolCoeff,0)-1,1,1,1)+OFFSET(InterpolCoeff,MATCH(F36,InterpolCoeff,0)-1,2,1,1)*F44+OFFSET(InterpolCoeff,MATCH(F36,InterpolCoeff,0)-1,3,1,1)*F44^2+OFFSET(InterpolCoeff,MATCH(F36,InterpolCoeff,0)-1,4,1,1)*F44^3</f>
        <v>0.39169119197533797</v>
      </c>
      <c r="G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0.07635346407736958</v>
      </c>
      <c r="H69" s="177"/>
      <c r="I69" s="177"/>
      <c r="J69" s="7"/>
      <c r="K69" s="7"/>
      <c r="L69" s="7"/>
      <c r="M69" s="13"/>
      <c r="N69" s="13"/>
      <c r="O69" s="13"/>
      <c r="P69" s="13"/>
      <c r="Q69" s="13"/>
      <c r="R69" s="7"/>
      <c r="S69" s="7"/>
      <c r="T69" s="7"/>
      <c r="U69" s="7"/>
      <c r="V69" s="7"/>
      <c r="W69" s="20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5" hidden="1">
      <c r="A70" s="48"/>
      <c r="B70" s="48"/>
      <c r="C70" s="178"/>
      <c r="D70" s="5"/>
      <c r="E70" s="5"/>
      <c r="F70" s="12"/>
      <c r="G70" s="12"/>
      <c r="H70" s="12"/>
      <c r="I70" s="12"/>
      <c r="J70" s="2"/>
      <c r="K70" s="2"/>
      <c r="L70" s="5"/>
      <c r="M70" s="7"/>
      <c r="N70" s="5"/>
      <c r="O70" s="5"/>
      <c r="P70" s="7"/>
      <c r="Q70" s="7"/>
      <c r="R70" s="5"/>
      <c r="W70" s="13"/>
      <c r="X70" s="20"/>
      <c r="Y70" s="20"/>
      <c r="Z70" s="20"/>
      <c r="AA70" s="20"/>
      <c r="AB70" s="20"/>
      <c r="AC70" s="20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0.00000178/(1+0.0337*$F$28+0.000221*$F$28^2)</f>
        <v>1.6141464520516888E-07</v>
      </c>
      <c r="G71" s="153">
        <f>0.00000178/(1+0.0337*$H$28+0.000221*$H$28^2)</f>
        <v>4.007294175915711E-07</v>
      </c>
      <c r="H71" s="153"/>
      <c r="I71" s="153"/>
      <c r="J71" s="2"/>
      <c r="K71" s="2"/>
      <c r="L71" s="8"/>
      <c r="M71" s="7"/>
      <c r="N71" s="5"/>
      <c r="O71" s="5"/>
      <c r="P71" s="7"/>
      <c r="Q71" s="7"/>
      <c r="R71" s="8"/>
      <c r="W71" s="13"/>
      <c r="X71" s="20"/>
      <c r="Y71" s="20"/>
      <c r="Z71" s="20"/>
      <c r="AA71" s="20"/>
      <c r="AB71" s="20"/>
      <c r="AC71" s="20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8"/>
      <c r="B72" s="48"/>
      <c r="C72" s="152" t="s">
        <v>57</v>
      </c>
      <c r="D72" s="138" t="s">
        <v>58</v>
      </c>
      <c r="E72" s="138"/>
      <c r="F72" s="154">
        <f>F44*$F$36/$F$71/1000</f>
        <v>946184.1257433646</v>
      </c>
      <c r="G72" s="154">
        <f>H44*$H$36/$G$71/1000</f>
        <v>148921.6955911159</v>
      </c>
      <c r="H72" s="154"/>
      <c r="I72" s="154"/>
      <c r="J72" s="104"/>
      <c r="K72" s="104"/>
      <c r="L72" s="9"/>
      <c r="M72" s="5"/>
      <c r="N72" s="5"/>
      <c r="O72" s="5"/>
      <c r="P72" s="5"/>
      <c r="Q72" s="5"/>
      <c r="R72" s="9"/>
      <c r="W72" s="7"/>
      <c r="AC72" s="20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5" hidden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112"/>
      <c r="L73" s="5"/>
      <c r="M73" s="8"/>
      <c r="N73" s="8"/>
      <c r="O73" s="5"/>
      <c r="P73" s="5"/>
      <c r="Q73" s="8"/>
      <c r="R73" s="5"/>
      <c r="W73" s="7"/>
      <c r="AC73" s="20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5" hidden="1">
      <c r="A74" s="48"/>
      <c r="B74" s="48"/>
      <c r="C74" s="5"/>
      <c r="D74" s="5"/>
      <c r="E74" s="44"/>
      <c r="F74" s="96"/>
      <c r="G74" s="8"/>
      <c r="H74" s="5"/>
      <c r="I74" s="112"/>
      <c r="J74" s="105"/>
      <c r="K74" s="105"/>
      <c r="L74" s="10"/>
      <c r="M74" s="9"/>
      <c r="N74" s="9"/>
      <c r="O74" s="6"/>
      <c r="P74" s="6"/>
      <c r="Q74" s="9"/>
      <c r="R74" s="10"/>
      <c r="S74" s="10"/>
      <c r="T74" s="10"/>
      <c r="U74" s="10"/>
      <c r="V74" s="10"/>
      <c r="AC74" s="19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5">
      <c r="A75" s="48"/>
      <c r="B75" s="48"/>
      <c r="C75" s="5"/>
      <c r="D75" s="5"/>
      <c r="E75" s="44"/>
      <c r="F75" s="192"/>
      <c r="G75" s="192"/>
      <c r="H75" s="192"/>
      <c r="I75" s="192"/>
      <c r="J75" s="112"/>
      <c r="K75" s="1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AC75" s="20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5">
      <c r="A76" s="48"/>
      <c r="B76" s="48"/>
      <c r="C76" s="5"/>
      <c r="D76" s="5"/>
      <c r="E76" s="5"/>
      <c r="F76" s="48"/>
      <c r="G76" s="48"/>
      <c r="H76" s="48"/>
      <c r="I76" s="48"/>
      <c r="J76" s="115"/>
      <c r="K76" s="115"/>
      <c r="L76" s="11"/>
      <c r="M76" s="10"/>
      <c r="N76" s="10"/>
      <c r="O76" s="10"/>
      <c r="P76" s="5"/>
      <c r="Q76" s="5"/>
      <c r="R76" s="11"/>
      <c r="S76" s="11"/>
      <c r="T76" s="11"/>
      <c r="U76" s="11"/>
      <c r="V76" s="11"/>
      <c r="AC76" s="20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8"/>
      <c r="B77" s="48"/>
      <c r="C77" s="5"/>
      <c r="D77" s="5"/>
      <c r="E77" s="5"/>
      <c r="F77" s="192"/>
      <c r="G77" s="192"/>
      <c r="H77" s="192"/>
      <c r="I77" s="192"/>
      <c r="J77" s="112"/>
      <c r="K77" s="1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X77" s="7"/>
      <c r="Y77" s="7"/>
      <c r="Z77" s="7"/>
      <c r="AA77" s="7"/>
      <c r="AB77" s="7"/>
      <c r="AC77" s="13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8"/>
      <c r="B78" s="48"/>
      <c r="C78" s="5"/>
      <c r="D78" s="5"/>
      <c r="E78" s="5"/>
      <c r="F78" s="2"/>
      <c r="G78" s="2"/>
      <c r="H78" s="2"/>
      <c r="I78" s="2"/>
      <c r="J78" s="188"/>
      <c r="K78" s="188"/>
      <c r="L78" s="12"/>
      <c r="M78" s="11"/>
      <c r="N78" s="11"/>
      <c r="O78" s="11"/>
      <c r="P78" s="5"/>
      <c r="Q78" s="5"/>
      <c r="R78" s="12"/>
      <c r="S78" s="12"/>
      <c r="T78" s="12"/>
      <c r="U78" s="12"/>
      <c r="V78" s="12"/>
      <c r="W78" s="10"/>
      <c r="X78" s="7"/>
      <c r="Y78" s="7"/>
      <c r="Z78" s="7"/>
      <c r="AA78" s="7"/>
      <c r="AB78" s="7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2.75">
      <c r="A79" s="48"/>
      <c r="B79" s="48"/>
      <c r="C79" s="5"/>
      <c r="D79" s="5"/>
      <c r="E79" s="5"/>
      <c r="F79" s="2"/>
      <c r="G79" s="2"/>
      <c r="H79" s="2"/>
      <c r="I79" s="2"/>
      <c r="J79" s="188"/>
      <c r="K79" s="188"/>
      <c r="L79" s="12"/>
      <c r="M79" s="5"/>
      <c r="N79" s="5"/>
      <c r="O79" s="5"/>
      <c r="P79" s="7"/>
      <c r="Q79" s="7"/>
      <c r="R79" s="12"/>
      <c r="S79" s="12"/>
      <c r="T79" s="12"/>
      <c r="U79" s="12"/>
      <c r="V79" s="12"/>
      <c r="W79" s="5"/>
      <c r="X79" s="5"/>
      <c r="Y79" s="5"/>
      <c r="Z79" s="5"/>
      <c r="AA79" s="5"/>
      <c r="AB79" s="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2.75">
      <c r="A80" s="48"/>
      <c r="B80" s="48"/>
      <c r="C80" s="5"/>
      <c r="D80" s="5"/>
      <c r="E80" s="5"/>
      <c r="F80" s="2"/>
      <c r="G80" s="2"/>
      <c r="H80" s="2"/>
      <c r="I80" s="2"/>
      <c r="J80" s="188"/>
      <c r="K80" s="188"/>
      <c r="L80" s="12"/>
      <c r="M80" s="12"/>
      <c r="N80" s="12"/>
      <c r="O80" s="12"/>
      <c r="P80" s="7"/>
      <c r="Q80" s="7"/>
      <c r="R80" s="12"/>
      <c r="S80" s="12"/>
      <c r="T80" s="12"/>
      <c r="U80" s="12"/>
      <c r="V80" s="12"/>
      <c r="W80" s="11"/>
      <c r="X80" s="8"/>
      <c r="Y80" s="8"/>
      <c r="Z80" s="8"/>
      <c r="AA80" s="8"/>
      <c r="AB80" s="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  <c r="W81" s="5"/>
      <c r="X81" s="9"/>
      <c r="Y81" s="9"/>
      <c r="Z81" s="9"/>
      <c r="AA81" s="9"/>
      <c r="AB81" s="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8"/>
      <c r="Q82" s="8"/>
      <c r="R82" s="5"/>
      <c r="S82" s="5"/>
      <c r="T82" s="5"/>
      <c r="U82" s="5"/>
      <c r="V82" s="5"/>
      <c r="W82" s="12"/>
      <c r="X82" s="5"/>
      <c r="Y82" s="5"/>
      <c r="Z82" s="5"/>
      <c r="AA82" s="5"/>
      <c r="AB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2.75">
      <c r="A83" s="48"/>
      <c r="B83" s="48"/>
      <c r="C83" s="5"/>
      <c r="D83" s="5"/>
      <c r="E83" s="5"/>
      <c r="F83" s="2"/>
      <c r="G83" s="2"/>
      <c r="H83" s="2"/>
      <c r="I83" s="2"/>
      <c r="J83" s="188"/>
      <c r="K83" s="188"/>
      <c r="L83" s="12"/>
      <c r="M83" s="5"/>
      <c r="N83" s="5"/>
      <c r="O83" s="5"/>
      <c r="P83" s="9"/>
      <c r="Q83" s="9"/>
      <c r="R83" s="12"/>
      <c r="S83" s="12"/>
      <c r="T83" s="12"/>
      <c r="U83" s="12"/>
      <c r="V83" s="12"/>
      <c r="W83" s="12"/>
      <c r="X83" s="10"/>
      <c r="Y83" s="10"/>
      <c r="Z83" s="10"/>
      <c r="AA83" s="10"/>
      <c r="AB83" s="10"/>
      <c r="AC83" s="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2.75">
      <c r="A84" s="48"/>
      <c r="B84" s="48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2.75">
      <c r="A85" s="48"/>
      <c r="B85" s="48"/>
      <c r="C85" s="5"/>
      <c r="D85" s="5"/>
      <c r="E85" s="5"/>
      <c r="F85" s="2"/>
      <c r="G85" s="2"/>
      <c r="H85" s="2"/>
      <c r="I85" s="2"/>
      <c r="J85" s="2"/>
      <c r="K85" s="2"/>
      <c r="L85" s="5"/>
      <c r="M85" s="12"/>
      <c r="N85" s="12"/>
      <c r="O85" s="12"/>
      <c r="P85" s="10"/>
      <c r="Q85" s="10"/>
      <c r="R85" s="5"/>
      <c r="S85" s="5"/>
      <c r="T85" s="5"/>
      <c r="U85" s="5"/>
      <c r="V85" s="5"/>
      <c r="W85" s="5"/>
      <c r="X85" s="11"/>
      <c r="Y85" s="11"/>
      <c r="Z85" s="11"/>
      <c r="AA85" s="11"/>
      <c r="AB85" s="11"/>
      <c r="AC85" s="10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1"/>
      <c r="Q87" s="11"/>
      <c r="R87" s="5"/>
      <c r="S87" s="5"/>
      <c r="T87" s="5"/>
      <c r="U87" s="5"/>
      <c r="V87" s="5"/>
      <c r="W87" s="12"/>
      <c r="X87" s="12"/>
      <c r="Y87" s="12"/>
      <c r="Z87" s="12"/>
      <c r="AA87" s="12"/>
      <c r="AB87" s="12"/>
      <c r="AC87" s="1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2"/>
      <c r="Y88" s="12"/>
      <c r="Z88" s="12"/>
      <c r="AA88" s="12"/>
      <c r="AB88" s="1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5"/>
      <c r="X89" s="12"/>
      <c r="Y89" s="12"/>
      <c r="Z89" s="12"/>
      <c r="AA89" s="12"/>
      <c r="AB89" s="12"/>
      <c r="AC89" s="12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2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2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"/>
      <c r="Y92" s="12"/>
      <c r="Z92" s="12"/>
      <c r="AA92" s="12"/>
      <c r="AB92" s="1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12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2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33"/>
      <c r="G100" s="33"/>
      <c r="H100" s="33"/>
      <c r="I100" s="33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33"/>
      <c r="H101" s="33"/>
      <c r="I101" s="33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33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33"/>
      <c r="G102" s="33"/>
      <c r="H102" s="33"/>
      <c r="I102" s="33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33"/>
      <c r="G103" s="33"/>
      <c r="H103" s="33"/>
      <c r="I103" s="33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33"/>
      <c r="G104" s="33"/>
      <c r="H104" s="33"/>
      <c r="I104" s="33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33"/>
      <c r="G105" s="33"/>
      <c r="H105" s="33"/>
      <c r="I105" s="33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33"/>
      <c r="G106" s="33"/>
      <c r="H106" s="33"/>
      <c r="I106" s="33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33"/>
      <c r="G107" s="33"/>
      <c r="H107" s="33"/>
      <c r="I107" s="33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33"/>
      <c r="G108" s="33"/>
      <c r="H108" s="33"/>
      <c r="I108" s="33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33"/>
      <c r="G109" s="33"/>
      <c r="H109" s="33"/>
      <c r="I109" s="33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33"/>
      <c r="G110" s="33"/>
      <c r="H110" s="33"/>
      <c r="I110" s="33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33"/>
      <c r="G111" s="33"/>
      <c r="H111" s="33"/>
      <c r="I111" s="3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33"/>
      <c r="G112" s="33"/>
      <c r="H112" s="33"/>
      <c r="I112" s="3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33"/>
      <c r="G113" s="33"/>
      <c r="H113" s="33"/>
      <c r="I113" s="33"/>
      <c r="M113" s="5"/>
      <c r="N113" s="5"/>
      <c r="O113" s="5"/>
      <c r="P113" s="5"/>
      <c r="Q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W114" s="5"/>
      <c r="X114" s="5"/>
      <c r="Y114" s="5"/>
      <c r="Z114" s="5"/>
      <c r="AA114" s="5"/>
      <c r="AB114" s="5"/>
      <c r="AC114" s="5"/>
    </row>
    <row r="115" spans="16:29" ht="12.75">
      <c r="P115" s="5"/>
      <c r="Q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AC122" s="5"/>
    </row>
    <row r="123" spans="16:29" ht="12.75">
      <c r="P123" s="5"/>
      <c r="Q123" s="5"/>
      <c r="AC123" s="5"/>
    </row>
  </sheetData>
  <sheetProtection password="E09E" sheet="1" objects="1" scenarios="1"/>
  <mergeCells count="80">
    <mergeCell ref="F59:G59"/>
    <mergeCell ref="H59:I59"/>
    <mergeCell ref="F50:G50"/>
    <mergeCell ref="F51:I51"/>
    <mergeCell ref="F52:G52"/>
    <mergeCell ref="F53:G53"/>
    <mergeCell ref="F54:I54"/>
    <mergeCell ref="F55:G55"/>
    <mergeCell ref="F56:G56"/>
    <mergeCell ref="F57:G57"/>
    <mergeCell ref="F58:G58"/>
    <mergeCell ref="H53:I53"/>
    <mergeCell ref="H55:I55"/>
    <mergeCell ref="H56:I56"/>
    <mergeCell ref="H57:I57"/>
    <mergeCell ref="H58:I58"/>
    <mergeCell ref="H49:I49"/>
    <mergeCell ref="H50:I50"/>
    <mergeCell ref="H52:I52"/>
    <mergeCell ref="H39:I39"/>
    <mergeCell ref="H40:I40"/>
    <mergeCell ref="F39:G39"/>
    <mergeCell ref="H46:I46"/>
    <mergeCell ref="F43:G43"/>
    <mergeCell ref="H29:I29"/>
    <mergeCell ref="H30:I30"/>
    <mergeCell ref="H31:I31"/>
    <mergeCell ref="H33:I33"/>
    <mergeCell ref="F44:G44"/>
    <mergeCell ref="F45:G45"/>
    <mergeCell ref="F42:G42"/>
    <mergeCell ref="H42:I42"/>
    <mergeCell ref="H43:I43"/>
    <mergeCell ref="H44:I44"/>
    <mergeCell ref="F40:G40"/>
    <mergeCell ref="H36:I36"/>
    <mergeCell ref="M40:Q40"/>
    <mergeCell ref="C41:I41"/>
    <mergeCell ref="C47:I47"/>
    <mergeCell ref="C63:I63"/>
    <mergeCell ref="F46:G46"/>
    <mergeCell ref="H45:I45"/>
    <mergeCell ref="F48:I48"/>
    <mergeCell ref="F49:G49"/>
    <mergeCell ref="M39:Q39"/>
    <mergeCell ref="F31:G31"/>
    <mergeCell ref="F32:G32"/>
    <mergeCell ref="F33:G33"/>
    <mergeCell ref="F34:G34"/>
    <mergeCell ref="F25:G25"/>
    <mergeCell ref="H25:I25"/>
    <mergeCell ref="H34:I34"/>
    <mergeCell ref="F36:G36"/>
    <mergeCell ref="F37:G37"/>
    <mergeCell ref="F29:G29"/>
    <mergeCell ref="H32:I32"/>
    <mergeCell ref="H37:I37"/>
    <mergeCell ref="H38:I38"/>
    <mergeCell ref="F30:G30"/>
    <mergeCell ref="C24:I24"/>
    <mergeCell ref="C35:I35"/>
    <mergeCell ref="F38:G38"/>
    <mergeCell ref="H27:I27"/>
    <mergeCell ref="H28:I28"/>
    <mergeCell ref="G18:H18"/>
    <mergeCell ref="G19:H19"/>
    <mergeCell ref="G20:H20"/>
    <mergeCell ref="G21:H21"/>
    <mergeCell ref="F27:G27"/>
    <mergeCell ref="F28:G28"/>
    <mergeCell ref="G22:H22"/>
    <mergeCell ref="G14:I14"/>
    <mergeCell ref="G15:H15"/>
    <mergeCell ref="G16:H16"/>
    <mergeCell ref="G23:H23"/>
    <mergeCell ref="C3:I3"/>
    <mergeCell ref="D5:I5"/>
    <mergeCell ref="D6:I6"/>
    <mergeCell ref="D7:I7"/>
    <mergeCell ref="G17:H17"/>
  </mergeCells>
  <conditionalFormatting sqref="F44 H44">
    <cfRule type="cellIs" priority="2" dxfId="1" operator="greaterThanOrEqual" stopIfTrue="1">
      <formula>10</formula>
    </cfRule>
  </conditionalFormatting>
  <conditionalFormatting sqref="F45:F46 H45:H46">
    <cfRule type="cellIs" priority="1" dxfId="0" operator="greaterThanOrEqual" stopIfTrue="1">
      <formula>3</formula>
    </cfRule>
  </conditionalFormatting>
  <dataValidations count="3">
    <dataValidation errorStyle="warning" type="list" allowBlank="1" showInputMessage="1" showErrorMessage="1" error="111" sqref="F30 H30">
      <formula1>TypePFlow</formula1>
    </dataValidation>
    <dataValidation type="list" allowBlank="1" showInputMessage="1" showErrorMessage="1" sqref="F31 H31:I31">
      <formula1>OFFSET(BegParamKM,MATCH(F36,Dy0KM,0)-1,0,VLOOKUP(F36,ParamKM2,5,FALSE))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26"/>
  <sheetViews>
    <sheetView zoomScale="75" zoomScaleNormal="75" zoomScalePageLayoutView="400" workbookViewId="0" topLeftCell="A51">
      <selection activeCell="H77" sqref="H77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3" customWidth="1"/>
    <col min="11" max="11" width="5.25390625" style="33" customWidth="1"/>
    <col min="12" max="12" width="11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10.6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9" width="10.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customWidth="1"/>
    <col min="43" max="43" width="2.75390625" style="1" customWidth="1"/>
    <col min="44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85"/>
      <c r="C2" s="186"/>
      <c r="D2" s="186"/>
      <c r="E2" s="186"/>
      <c r="F2" s="186"/>
      <c r="G2" s="186"/>
      <c r="H2" s="186"/>
      <c r="I2" s="186"/>
      <c r="J2" s="187"/>
    </row>
    <row r="3" spans="2:13" s="21" customFormat="1" ht="20.25">
      <c r="B3" s="183"/>
      <c r="C3" s="421" t="s">
        <v>120</v>
      </c>
      <c r="D3" s="421"/>
      <c r="E3" s="421"/>
      <c r="F3" s="421"/>
      <c r="G3" s="421"/>
      <c r="H3" s="421"/>
      <c r="I3" s="421"/>
      <c r="J3" s="184"/>
      <c r="K3" s="99"/>
      <c r="L3" s="31"/>
      <c r="M3" s="31"/>
    </row>
    <row r="4" spans="2:13" s="43" customFormat="1" ht="20.25" customHeight="1">
      <c r="B4" s="157"/>
      <c r="C4" s="158"/>
      <c r="D4" s="100"/>
      <c r="E4" s="158"/>
      <c r="F4" s="158"/>
      <c r="G4" s="158"/>
      <c r="H4" s="159"/>
      <c r="I4" s="159"/>
      <c r="J4" s="160"/>
      <c r="K4" s="101"/>
      <c r="L4" s="32"/>
      <c r="M4" s="32"/>
    </row>
    <row r="5" spans="2:13" s="43" customFormat="1" ht="18" customHeight="1">
      <c r="B5" s="157"/>
      <c r="C5" s="102" t="s">
        <v>116</v>
      </c>
      <c r="D5" s="422"/>
      <c r="E5" s="423"/>
      <c r="F5" s="423"/>
      <c r="G5" s="423"/>
      <c r="H5" s="423"/>
      <c r="I5" s="424"/>
      <c r="J5" s="160"/>
      <c r="K5" s="101"/>
      <c r="L5" s="32"/>
      <c r="M5" s="32"/>
    </row>
    <row r="6" spans="2:13" s="43" customFormat="1" ht="18" customHeight="1">
      <c r="B6" s="157"/>
      <c r="C6" s="5"/>
      <c r="D6" s="425"/>
      <c r="E6" s="426"/>
      <c r="F6" s="426"/>
      <c r="G6" s="426"/>
      <c r="H6" s="426"/>
      <c r="I6" s="427"/>
      <c r="J6" s="160"/>
      <c r="K6" s="101"/>
      <c r="L6" s="32"/>
      <c r="M6" s="32"/>
    </row>
    <row r="7" spans="2:13" s="43" customFormat="1" ht="18" customHeight="1">
      <c r="B7" s="157"/>
      <c r="C7" s="158"/>
      <c r="D7" s="428"/>
      <c r="E7" s="429"/>
      <c r="F7" s="429"/>
      <c r="G7" s="429"/>
      <c r="H7" s="429"/>
      <c r="I7" s="430"/>
      <c r="J7" s="160"/>
      <c r="K7" s="101"/>
      <c r="L7" s="32"/>
      <c r="M7" s="32"/>
    </row>
    <row r="8" spans="2:11" ht="15.75" customHeight="1">
      <c r="B8" s="161"/>
      <c r="C8" s="162"/>
      <c r="D8" s="162"/>
      <c r="E8" s="162"/>
      <c r="F8" s="162"/>
      <c r="G8" s="162"/>
      <c r="H8" s="162"/>
      <c r="I8" s="162"/>
      <c r="J8" s="163"/>
      <c r="K8" s="103"/>
    </row>
    <row r="9" spans="2:10" ht="15.75" customHeight="1">
      <c r="B9" s="164"/>
      <c r="C9" s="165"/>
      <c r="D9" s="165"/>
      <c r="E9" s="165"/>
      <c r="F9" s="165"/>
      <c r="G9" s="165"/>
      <c r="J9" s="166"/>
    </row>
    <row r="10" spans="2:10" ht="15.75" customHeight="1">
      <c r="B10" s="164"/>
      <c r="C10" s="48"/>
      <c r="D10" s="48"/>
      <c r="E10" s="48"/>
      <c r="F10" s="48"/>
      <c r="G10" s="48"/>
      <c r="J10" s="166"/>
    </row>
    <row r="11" spans="2:10" ht="15.75" customHeight="1">
      <c r="B11" s="164"/>
      <c r="C11" s="48"/>
      <c r="D11" s="48"/>
      <c r="E11" s="48"/>
      <c r="F11" s="48"/>
      <c r="G11" s="48"/>
      <c r="J11" s="166"/>
    </row>
    <row r="12" spans="2:10" ht="15.75" customHeight="1">
      <c r="B12" s="164"/>
      <c r="C12" s="48"/>
      <c r="D12" s="48"/>
      <c r="E12" s="48"/>
      <c r="F12" s="48"/>
      <c r="G12" s="48"/>
      <c r="J12" s="166"/>
    </row>
    <row r="13" spans="2:10" ht="15.75" customHeight="1">
      <c r="B13" s="164"/>
      <c r="C13" s="48"/>
      <c r="D13" s="48"/>
      <c r="E13" s="48"/>
      <c r="F13" s="48"/>
      <c r="J13" s="166"/>
    </row>
    <row r="14" spans="2:10" ht="15.75" customHeight="1">
      <c r="B14" s="164"/>
      <c r="C14" s="48"/>
      <c r="D14" s="48"/>
      <c r="E14" s="48"/>
      <c r="F14" s="48"/>
      <c r="G14" s="417" t="s">
        <v>119</v>
      </c>
      <c r="H14" s="417"/>
      <c r="I14" s="417"/>
      <c r="J14" s="166"/>
    </row>
    <row r="15" spans="2:10" ht="15.75" customHeight="1">
      <c r="B15" s="164"/>
      <c r="C15" s="48"/>
      <c r="D15" s="48"/>
      <c r="E15" s="48"/>
      <c r="F15" s="48"/>
      <c r="G15" s="418" t="s">
        <v>149</v>
      </c>
      <c r="H15" s="418"/>
      <c r="I15" s="357" t="s">
        <v>194</v>
      </c>
      <c r="J15" s="166"/>
    </row>
    <row r="16" spans="2:10" ht="15.75" customHeight="1">
      <c r="B16" s="164"/>
      <c r="C16" s="48"/>
      <c r="D16" s="48"/>
      <c r="E16" s="48"/>
      <c r="F16" s="48"/>
      <c r="G16" s="419" t="s">
        <v>131</v>
      </c>
      <c r="H16" s="419"/>
      <c r="I16" s="249">
        <v>111</v>
      </c>
      <c r="J16" s="166"/>
    </row>
    <row r="17" spans="2:10" ht="15.75" customHeight="1">
      <c r="B17" s="164"/>
      <c r="C17" s="48"/>
      <c r="D17" s="48"/>
      <c r="E17" s="48"/>
      <c r="F17" s="48"/>
      <c r="G17" s="420" t="s">
        <v>132</v>
      </c>
      <c r="H17" s="420"/>
      <c r="I17" s="250">
        <v>128</v>
      </c>
      <c r="J17" s="166"/>
    </row>
    <row r="18" spans="2:10" ht="15.75" customHeight="1">
      <c r="B18" s="164"/>
      <c r="C18" s="48"/>
      <c r="D18" s="48"/>
      <c r="E18" s="48"/>
      <c r="F18" s="48"/>
      <c r="G18" s="420" t="s">
        <v>238</v>
      </c>
      <c r="H18" s="420"/>
      <c r="I18" s="250">
        <v>200</v>
      </c>
      <c r="J18" s="166"/>
    </row>
    <row r="19" spans="2:10" ht="15.75" customHeight="1">
      <c r="B19" s="164"/>
      <c r="C19" s="48"/>
      <c r="D19" s="48"/>
      <c r="E19" s="48"/>
      <c r="F19" s="48"/>
      <c r="G19" s="416" t="s">
        <v>133</v>
      </c>
      <c r="H19" s="416"/>
      <c r="I19" s="251" t="s">
        <v>142</v>
      </c>
      <c r="J19" s="166"/>
    </row>
    <row r="20" spans="2:13" ht="15.75" customHeight="1">
      <c r="B20" s="164"/>
      <c r="C20" s="48"/>
      <c r="D20" s="48"/>
      <c r="E20" s="48"/>
      <c r="F20" s="48"/>
      <c r="G20" s="416" t="s">
        <v>226</v>
      </c>
      <c r="H20" s="416"/>
      <c r="I20" s="251" t="s">
        <v>227</v>
      </c>
      <c r="J20" s="166"/>
      <c r="M20" s="116"/>
    </row>
    <row r="21" spans="2:10" ht="15.75" customHeight="1">
      <c r="B21" s="164"/>
      <c r="C21" s="48"/>
      <c r="D21" s="48"/>
      <c r="E21" s="48"/>
      <c r="F21" s="48"/>
      <c r="G21" s="416" t="s">
        <v>134</v>
      </c>
      <c r="H21" s="416"/>
      <c r="I21" s="251">
        <v>200</v>
      </c>
      <c r="J21" s="166"/>
    </row>
    <row r="22" spans="2:10" ht="15.75" customHeight="1">
      <c r="B22" s="164"/>
      <c r="C22" s="48"/>
      <c r="D22" s="48"/>
      <c r="E22" s="48"/>
      <c r="F22" s="48"/>
      <c r="G22" s="416" t="s">
        <v>201</v>
      </c>
      <c r="H22" s="416"/>
      <c r="I22" s="251" t="s">
        <v>143</v>
      </c>
      <c r="J22" s="166"/>
    </row>
    <row r="23" spans="2:10" ht="15.75" customHeight="1">
      <c r="B23" s="164"/>
      <c r="C23" s="48"/>
      <c r="D23" s="48"/>
      <c r="E23" s="48"/>
      <c r="F23" s="48"/>
      <c r="G23" s="420" t="s">
        <v>202</v>
      </c>
      <c r="H23" s="420"/>
      <c r="I23" s="250">
        <v>328</v>
      </c>
      <c r="J23" s="166"/>
    </row>
    <row r="24" spans="2:39" ht="15.75" customHeight="1" thickBot="1">
      <c r="B24" s="164"/>
      <c r="C24" s="445"/>
      <c r="D24" s="445"/>
      <c r="E24" s="445"/>
      <c r="F24" s="445"/>
      <c r="G24" s="445"/>
      <c r="H24" s="445"/>
      <c r="I24" s="445"/>
      <c r="J24" s="166"/>
      <c r="N24" s="88" t="s">
        <v>111</v>
      </c>
      <c r="O24" s="88" t="s">
        <v>112</v>
      </c>
      <c r="P24" s="88" t="s">
        <v>113</v>
      </c>
      <c r="Q24" s="88" t="s">
        <v>114</v>
      </c>
      <c r="R24" s="19"/>
      <c r="S24" s="22" t="s">
        <v>4</v>
      </c>
      <c r="T24" s="23" t="s">
        <v>5</v>
      </c>
      <c r="U24" s="23" t="s">
        <v>135</v>
      </c>
      <c r="V24" s="113" t="s">
        <v>118</v>
      </c>
      <c r="X24" s="53" t="s">
        <v>138</v>
      </c>
      <c r="Y24" s="53" t="s">
        <v>139</v>
      </c>
      <c r="Z24" s="53" t="s">
        <v>97</v>
      </c>
      <c r="AA24" s="54" t="s">
        <v>98</v>
      </c>
      <c r="AB24" s="53" t="s">
        <v>99</v>
      </c>
      <c r="AC24" s="106"/>
      <c r="AE24" s="79" t="s">
        <v>100</v>
      </c>
      <c r="AF24" s="79" t="s">
        <v>101</v>
      </c>
      <c r="AG24" s="79" t="s">
        <v>102</v>
      </c>
      <c r="AH24" s="80" t="s">
        <v>103</v>
      </c>
      <c r="AI24" s="52"/>
      <c r="AJ24" s="93" t="s">
        <v>104</v>
      </c>
      <c r="AK24" s="93" t="s">
        <v>104</v>
      </c>
      <c r="AL24" s="93" t="s">
        <v>104</v>
      </c>
      <c r="AM24" s="93" t="s">
        <v>104</v>
      </c>
    </row>
    <row r="25" spans="2:39" ht="17.25" customHeight="1" thickBot="1" thickTop="1">
      <c r="B25" s="164"/>
      <c r="C25" s="48"/>
      <c r="D25" s="35" t="s">
        <v>2</v>
      </c>
      <c r="E25" s="36" t="s">
        <v>3</v>
      </c>
      <c r="F25" s="260" t="s">
        <v>93</v>
      </c>
      <c r="G25" s="260" t="s">
        <v>94</v>
      </c>
      <c r="H25" s="260" t="s">
        <v>95</v>
      </c>
      <c r="I25" s="260" t="s">
        <v>96</v>
      </c>
      <c r="J25" s="166"/>
      <c r="M25" s="81" t="s">
        <v>109</v>
      </c>
      <c r="N25" s="87">
        <f>F28+273.15</f>
        <v>277.15</v>
      </c>
      <c r="O25" s="87">
        <f>G28+273.15</f>
        <v>277.15</v>
      </c>
      <c r="P25" s="87">
        <f>H28+273.15</f>
        <v>277.15</v>
      </c>
      <c r="Q25" s="87">
        <f>I28+273.15</f>
        <v>277.15</v>
      </c>
      <c r="R25" s="19"/>
      <c r="S25" s="24" t="s">
        <v>123</v>
      </c>
      <c r="T25" s="25">
        <v>20</v>
      </c>
      <c r="U25" s="25" t="s">
        <v>136</v>
      </c>
      <c r="V25" s="25">
        <v>111</v>
      </c>
      <c r="W25" s="33">
        <v>1</v>
      </c>
      <c r="X25" s="55" t="s">
        <v>6</v>
      </c>
      <c r="Y25" s="56">
        <v>100</v>
      </c>
      <c r="Z25" s="56">
        <v>250</v>
      </c>
      <c r="AA25" s="56">
        <v>0</v>
      </c>
      <c r="AB25" s="56">
        <v>100</v>
      </c>
      <c r="AC25" s="331" t="s">
        <v>212</v>
      </c>
      <c r="AE25" s="81">
        <v>1</v>
      </c>
      <c r="AF25" s="81">
        <v>0</v>
      </c>
      <c r="AG25" s="81">
        <v>-2</v>
      </c>
      <c r="AH25" s="82">
        <v>0.14632971213167</v>
      </c>
      <c r="AI25" s="83"/>
      <c r="AJ25" s="94">
        <f>-AH25*AF25*(7.1-$N$28)^(AF25-1)*($N$27-1.222)^AG25</f>
        <v>0</v>
      </c>
      <c r="AK25" s="94">
        <f>-AH25*AF25*(7.1-$O$28)^(AF25-1)*($O$27-1.222)^AG25</f>
        <v>0</v>
      </c>
      <c r="AL25" s="94">
        <f>-AH25*AF25*(7.1-$P$28)^(AF25-1)*($P$27-1.222)^AG25</f>
        <v>0</v>
      </c>
      <c r="AM25" s="94">
        <f>-AH25*AF25*(7.1-$Q$28)^(AF25-1)*($Q$27-1.222)^AG25</f>
        <v>0</v>
      </c>
    </row>
    <row r="26" spans="2:39" ht="16.5" thickBot="1">
      <c r="B26" s="164"/>
      <c r="C26" s="261" t="s">
        <v>76</v>
      </c>
      <c r="D26" s="262"/>
      <c r="E26" s="262"/>
      <c r="F26" s="262"/>
      <c r="G26" s="262"/>
      <c r="H26" s="262"/>
      <c r="I26" s="263"/>
      <c r="J26" s="166"/>
      <c r="M26" s="81" t="s">
        <v>108</v>
      </c>
      <c r="N26" s="81">
        <f>F29*0.0980665</f>
        <v>0.6864655</v>
      </c>
      <c r="O26" s="81">
        <f>G29*0.0980665</f>
        <v>0.6864655</v>
      </c>
      <c r="P26" s="81">
        <f>H29*0.0980665</f>
        <v>0.6864655</v>
      </c>
      <c r="Q26" s="81">
        <f>I29*0.0980665</f>
        <v>0.6864655</v>
      </c>
      <c r="R26" s="19"/>
      <c r="S26" s="24" t="s">
        <v>124</v>
      </c>
      <c r="T26" s="25">
        <v>20</v>
      </c>
      <c r="U26" s="25" t="s">
        <v>137</v>
      </c>
      <c r="V26" s="25">
        <v>111</v>
      </c>
      <c r="W26" s="33">
        <v>2</v>
      </c>
      <c r="X26" s="57" t="s">
        <v>9</v>
      </c>
      <c r="Y26" s="58">
        <v>100</v>
      </c>
      <c r="Z26" s="58">
        <v>650</v>
      </c>
      <c r="AA26" s="58">
        <v>14.250032697803595</v>
      </c>
      <c r="AB26" s="58">
        <v>125</v>
      </c>
      <c r="AC26" s="107"/>
      <c r="AE26" s="81">
        <v>2</v>
      </c>
      <c r="AF26" s="81">
        <v>0</v>
      </c>
      <c r="AG26" s="81">
        <v>-1</v>
      </c>
      <c r="AH26" s="82">
        <v>-0.84548187169114</v>
      </c>
      <c r="AI26" s="83"/>
      <c r="AJ26" s="94">
        <f aca="true" t="shared" si="0" ref="AJ26:AJ58">-AH26*AF26*(7.1-$N$28)^(AF26-1)*($N$27-1.222)^AG26</f>
        <v>0</v>
      </c>
      <c r="AK26" s="94">
        <f aca="true" t="shared" si="1" ref="AK26:AK58">-AH26*AF26*(7.1-$O$28)^(AF26-1)*($O$27-1.222)^AG26</f>
        <v>0</v>
      </c>
      <c r="AL26" s="94">
        <f aca="true" t="shared" si="2" ref="AL26:AL58">-AH26*AF26*(7.1-$P$28)^(AF26-1)*($P$27-1.222)^AG26</f>
        <v>0</v>
      </c>
      <c r="AM26" s="94">
        <f aca="true" t="shared" si="3" ref="AM26:AM58">-AH26*AF26*(7.1-$Q$28)^(AF26-1)*($Q$27-1.222)^AG26</f>
        <v>0</v>
      </c>
    </row>
    <row r="27" spans="2:39" ht="18">
      <c r="B27" s="164"/>
      <c r="C27" s="117" t="s">
        <v>88</v>
      </c>
      <c r="D27" s="118" t="s">
        <v>7</v>
      </c>
      <c r="E27" s="119" t="s">
        <v>8</v>
      </c>
      <c r="F27" s="266">
        <v>1</v>
      </c>
      <c r="G27" s="267">
        <v>2</v>
      </c>
      <c r="H27" s="266">
        <v>3</v>
      </c>
      <c r="I27" s="267">
        <v>4</v>
      </c>
      <c r="J27" s="166"/>
      <c r="M27" s="92" t="s">
        <v>106</v>
      </c>
      <c r="N27" s="81">
        <f>1386/N25</f>
        <v>5.0009020386072525</v>
      </c>
      <c r="O27" s="81">
        <f>1386/O25</f>
        <v>5.0009020386072525</v>
      </c>
      <c r="P27" s="81">
        <f>1386/P25</f>
        <v>5.0009020386072525</v>
      </c>
      <c r="Q27" s="81">
        <f>1386/Q25</f>
        <v>5.0009020386072525</v>
      </c>
      <c r="R27" s="19"/>
      <c r="S27" s="24" t="s">
        <v>125</v>
      </c>
      <c r="T27" s="25">
        <v>32</v>
      </c>
      <c r="U27" s="25" t="s">
        <v>136</v>
      </c>
      <c r="V27" s="25">
        <v>128</v>
      </c>
      <c r="W27" s="33">
        <v>3</v>
      </c>
      <c r="X27" s="57" t="s">
        <v>11</v>
      </c>
      <c r="Y27" s="58">
        <v>100</v>
      </c>
      <c r="Z27" s="58">
        <v>650</v>
      </c>
      <c r="AA27" s="58">
        <v>21.771054109317475</v>
      </c>
      <c r="AB27" s="58">
        <v>150</v>
      </c>
      <c r="AC27" s="107"/>
      <c r="AE27" s="81">
        <v>3</v>
      </c>
      <c r="AF27" s="81">
        <v>0</v>
      </c>
      <c r="AG27" s="81">
        <v>0</v>
      </c>
      <c r="AH27" s="82">
        <v>-3.756360367204</v>
      </c>
      <c r="AI27" s="83"/>
      <c r="AJ27" s="94">
        <f t="shared" si="0"/>
        <v>0</v>
      </c>
      <c r="AK27" s="94">
        <f t="shared" si="1"/>
        <v>0</v>
      </c>
      <c r="AL27" s="94">
        <f t="shared" si="2"/>
        <v>0</v>
      </c>
      <c r="AM27" s="94">
        <f t="shared" si="3"/>
        <v>0</v>
      </c>
    </row>
    <row r="28" spans="2:39" ht="18">
      <c r="B28" s="164"/>
      <c r="C28" s="120" t="s">
        <v>89</v>
      </c>
      <c r="D28" s="121" t="s">
        <v>10</v>
      </c>
      <c r="E28" s="122" t="s">
        <v>81</v>
      </c>
      <c r="F28" s="268">
        <v>4</v>
      </c>
      <c r="G28" s="269">
        <v>4</v>
      </c>
      <c r="H28" s="269">
        <v>4</v>
      </c>
      <c r="I28" s="269">
        <v>4</v>
      </c>
      <c r="J28" s="166"/>
      <c r="M28" s="92" t="s">
        <v>107</v>
      </c>
      <c r="N28" s="81">
        <f>N26/16.53</f>
        <v>0.041528463399879</v>
      </c>
      <c r="O28" s="81">
        <f>O26/16.53</f>
        <v>0.041528463399879</v>
      </c>
      <c r="P28" s="81">
        <f>P26/16.53</f>
        <v>0.041528463399879</v>
      </c>
      <c r="Q28" s="81">
        <f>Q26/16.53</f>
        <v>0.041528463399879</v>
      </c>
      <c r="R28" s="19"/>
      <c r="S28" s="24" t="s">
        <v>126</v>
      </c>
      <c r="T28" s="25">
        <v>32</v>
      </c>
      <c r="U28" s="25" t="s">
        <v>137</v>
      </c>
      <c r="V28" s="25">
        <v>128</v>
      </c>
      <c r="W28" s="33">
        <v>4</v>
      </c>
      <c r="X28" s="57" t="s">
        <v>15</v>
      </c>
      <c r="Y28" s="58">
        <v>100</v>
      </c>
      <c r="Z28" s="58">
        <v>650</v>
      </c>
      <c r="AA28" s="58">
        <v>55.51708120212005</v>
      </c>
      <c r="AB28" s="58">
        <v>200</v>
      </c>
      <c r="AC28" s="107"/>
      <c r="AE28" s="81">
        <v>4</v>
      </c>
      <c r="AF28" s="81">
        <v>0</v>
      </c>
      <c r="AG28" s="81">
        <v>1</v>
      </c>
      <c r="AH28" s="82">
        <v>3.3855169168385</v>
      </c>
      <c r="AI28" s="83"/>
      <c r="AJ28" s="94">
        <f t="shared" si="0"/>
        <v>0</v>
      </c>
      <c r="AK28" s="94">
        <f t="shared" si="1"/>
        <v>0</v>
      </c>
      <c r="AL28" s="94">
        <f t="shared" si="2"/>
        <v>0</v>
      </c>
      <c r="AM28" s="94">
        <f t="shared" si="3"/>
        <v>0</v>
      </c>
    </row>
    <row r="29" spans="2:39" ht="18.75" thickBot="1">
      <c r="B29" s="164"/>
      <c r="C29" s="123" t="s">
        <v>12</v>
      </c>
      <c r="D29" s="124" t="s">
        <v>13</v>
      </c>
      <c r="E29" s="125" t="s">
        <v>14</v>
      </c>
      <c r="F29" s="270">
        <v>7</v>
      </c>
      <c r="G29" s="271">
        <v>7</v>
      </c>
      <c r="H29" s="271">
        <v>7</v>
      </c>
      <c r="I29" s="271">
        <v>7</v>
      </c>
      <c r="J29" s="166"/>
      <c r="M29" s="85" t="s">
        <v>110</v>
      </c>
      <c r="N29" s="85">
        <f>N28*AJ59*AH59*N25/N26</f>
        <v>0.9997353269602662</v>
      </c>
      <c r="O29" s="85">
        <f>O28*AK59*AH59*O25/O26</f>
        <v>0.9997353269602662</v>
      </c>
      <c r="P29" s="85">
        <f>P28*AL59*AH59*P25/P26</f>
        <v>0.9997353269602662</v>
      </c>
      <c r="Q29" s="85">
        <f>Q28*AM59*AH59*Q25/Q26</f>
        <v>0.9997353269602662</v>
      </c>
      <c r="R29" s="19"/>
      <c r="S29" s="24" t="s">
        <v>239</v>
      </c>
      <c r="T29" s="25">
        <v>40</v>
      </c>
      <c r="U29" s="25" t="s">
        <v>136</v>
      </c>
      <c r="V29" s="25">
        <v>200</v>
      </c>
      <c r="W29" s="33">
        <v>5</v>
      </c>
      <c r="X29" s="57" t="s">
        <v>16</v>
      </c>
      <c r="Y29" s="58">
        <v>100</v>
      </c>
      <c r="Z29" s="58">
        <v>650</v>
      </c>
      <c r="AA29" s="58">
        <v>56.35718021991835</v>
      </c>
      <c r="AB29" s="58">
        <v>250</v>
      </c>
      <c r="AC29" s="107"/>
      <c r="AE29" s="81">
        <v>5</v>
      </c>
      <c r="AF29" s="81">
        <v>0</v>
      </c>
      <c r="AG29" s="81">
        <v>2</v>
      </c>
      <c r="AH29" s="82">
        <v>-0.95791963387872</v>
      </c>
      <c r="AI29" s="83"/>
      <c r="AJ29" s="94">
        <f t="shared" si="0"/>
        <v>0</v>
      </c>
      <c r="AK29" s="94">
        <f t="shared" si="1"/>
        <v>0</v>
      </c>
      <c r="AL29" s="94">
        <f t="shared" si="2"/>
        <v>0</v>
      </c>
      <c r="AM29" s="94">
        <f t="shared" si="3"/>
        <v>0</v>
      </c>
    </row>
    <row r="30" spans="2:39" ht="15.75" customHeight="1" thickBot="1">
      <c r="B30" s="164"/>
      <c r="C30" s="126" t="s">
        <v>1</v>
      </c>
      <c r="D30" s="127"/>
      <c r="E30" s="119"/>
      <c r="F30" s="272" t="s">
        <v>128</v>
      </c>
      <c r="G30" s="273" t="s">
        <v>128</v>
      </c>
      <c r="H30" s="273" t="s">
        <v>128</v>
      </c>
      <c r="I30" s="273" t="s">
        <v>123</v>
      </c>
      <c r="J30" s="166"/>
      <c r="M30" s="49"/>
      <c r="N30" s="89">
        <f>1/N29*1000</f>
        <v>1000.2647431100975</v>
      </c>
      <c r="O30" s="89">
        <f>1/O29*1000</f>
        <v>1000.2647431100975</v>
      </c>
      <c r="P30" s="89">
        <f>1/P29*1000</f>
        <v>1000.2647431100975</v>
      </c>
      <c r="Q30" s="89">
        <f>1/Q29*1000</f>
        <v>1000.2647431100975</v>
      </c>
      <c r="R30" s="19"/>
      <c r="S30" s="24" t="s">
        <v>224</v>
      </c>
      <c r="T30" s="25">
        <v>40</v>
      </c>
      <c r="U30" s="25" t="s">
        <v>137</v>
      </c>
      <c r="V30" s="25">
        <v>200</v>
      </c>
      <c r="W30" s="33">
        <v>6</v>
      </c>
      <c r="X30" s="350" t="s">
        <v>209</v>
      </c>
      <c r="Y30" s="351">
        <v>100</v>
      </c>
      <c r="Z30" s="351">
        <v>650</v>
      </c>
      <c r="AA30" s="351">
        <v>71.07535558394876</v>
      </c>
      <c r="AB30" s="351">
        <v>300</v>
      </c>
      <c r="AC30" s="107"/>
      <c r="AE30" s="81">
        <v>6</v>
      </c>
      <c r="AF30" s="81">
        <v>0</v>
      </c>
      <c r="AG30" s="81">
        <v>3</v>
      </c>
      <c r="AH30" s="82">
        <v>0.15772038513228</v>
      </c>
      <c r="AI30" s="83"/>
      <c r="AJ30" s="94">
        <f t="shared" si="0"/>
        <v>0</v>
      </c>
      <c r="AK30" s="94">
        <f t="shared" si="1"/>
        <v>0</v>
      </c>
      <c r="AL30" s="94">
        <f t="shared" si="2"/>
        <v>0</v>
      </c>
      <c r="AM30" s="94">
        <f t="shared" si="3"/>
        <v>0</v>
      </c>
    </row>
    <row r="31" spans="2:39" ht="15.75" customHeight="1" thickTop="1">
      <c r="B31" s="164"/>
      <c r="C31" s="128" t="s">
        <v>17</v>
      </c>
      <c r="D31" s="129"/>
      <c r="E31" s="130"/>
      <c r="F31" s="274" t="s">
        <v>50</v>
      </c>
      <c r="G31" s="275" t="s">
        <v>50</v>
      </c>
      <c r="H31" s="275" t="s">
        <v>50</v>
      </c>
      <c r="I31" s="275" t="s">
        <v>240</v>
      </c>
      <c r="J31" s="166"/>
      <c r="O31" s="19"/>
      <c r="P31" s="19"/>
      <c r="Q31" s="19"/>
      <c r="R31" s="19"/>
      <c r="S31" s="24" t="s">
        <v>127</v>
      </c>
      <c r="T31" s="25">
        <v>50</v>
      </c>
      <c r="U31" s="25" t="s">
        <v>136</v>
      </c>
      <c r="V31" s="25">
        <v>153</v>
      </c>
      <c r="W31" s="33">
        <v>7</v>
      </c>
      <c r="X31" s="352" t="s">
        <v>217</v>
      </c>
      <c r="Y31" s="353">
        <v>125</v>
      </c>
      <c r="Z31" s="353"/>
      <c r="AA31" s="353">
        <v>0</v>
      </c>
      <c r="AB31" s="353">
        <v>125</v>
      </c>
      <c r="AC31" s="356" t="s">
        <v>117</v>
      </c>
      <c r="AE31" s="81">
        <v>7</v>
      </c>
      <c r="AF31" s="81">
        <v>0</v>
      </c>
      <c r="AG31" s="81">
        <v>4</v>
      </c>
      <c r="AH31" s="82">
        <v>-0.016616417199501</v>
      </c>
      <c r="AI31" s="83"/>
      <c r="AJ31" s="94">
        <f t="shared" si="0"/>
        <v>0</v>
      </c>
      <c r="AK31" s="94">
        <f t="shared" si="1"/>
        <v>0</v>
      </c>
      <c r="AL31" s="94">
        <f t="shared" si="2"/>
        <v>0</v>
      </c>
      <c r="AM31" s="94">
        <f t="shared" si="3"/>
        <v>0</v>
      </c>
    </row>
    <row r="32" spans="2:39" ht="18">
      <c r="B32" s="164"/>
      <c r="C32" s="128" t="s">
        <v>19</v>
      </c>
      <c r="D32" s="129"/>
      <c r="E32" s="130"/>
      <c r="F32" s="274" t="s">
        <v>50</v>
      </c>
      <c r="G32" s="275" t="s">
        <v>50</v>
      </c>
      <c r="H32" s="275" t="s">
        <v>50</v>
      </c>
      <c r="I32" s="275" t="s">
        <v>240</v>
      </c>
      <c r="J32" s="166"/>
      <c r="O32" s="19"/>
      <c r="P32" s="19"/>
      <c r="Q32" s="19"/>
      <c r="R32" s="19"/>
      <c r="S32" s="24" t="s">
        <v>128</v>
      </c>
      <c r="T32" s="25">
        <v>50</v>
      </c>
      <c r="U32" s="25" t="s">
        <v>137</v>
      </c>
      <c r="V32" s="25">
        <v>153</v>
      </c>
      <c r="W32" s="33">
        <v>8</v>
      </c>
      <c r="X32" s="347" t="s">
        <v>218</v>
      </c>
      <c r="Y32" s="348">
        <v>125</v>
      </c>
      <c r="Z32" s="348"/>
      <c r="AA32" s="348">
        <v>10.984649114254877</v>
      </c>
      <c r="AB32" s="348">
        <v>150</v>
      </c>
      <c r="AC32" s="349"/>
      <c r="AE32" s="81">
        <v>8</v>
      </c>
      <c r="AF32" s="81">
        <v>0</v>
      </c>
      <c r="AG32" s="81">
        <v>5</v>
      </c>
      <c r="AH32" s="82">
        <v>0.00081214629983568</v>
      </c>
      <c r="AI32" s="83"/>
      <c r="AJ32" s="94">
        <f t="shared" si="0"/>
        <v>0</v>
      </c>
      <c r="AK32" s="94">
        <f t="shared" si="1"/>
        <v>0</v>
      </c>
      <c r="AL32" s="94">
        <f t="shared" si="2"/>
        <v>0</v>
      </c>
      <c r="AM32" s="94">
        <f t="shared" si="3"/>
        <v>0</v>
      </c>
    </row>
    <row r="33" spans="2:39" ht="18">
      <c r="B33" s="164"/>
      <c r="C33" s="120" t="s">
        <v>20</v>
      </c>
      <c r="D33" s="131" t="s">
        <v>21</v>
      </c>
      <c r="E33" s="130" t="s">
        <v>22</v>
      </c>
      <c r="F33" s="274">
        <v>0.5</v>
      </c>
      <c r="G33" s="275">
        <v>0.5</v>
      </c>
      <c r="H33" s="275">
        <v>0.5</v>
      </c>
      <c r="I33" s="275">
        <v>0.5</v>
      </c>
      <c r="J33" s="166"/>
      <c r="O33" s="19"/>
      <c r="P33" s="19"/>
      <c r="Q33" s="19"/>
      <c r="R33" s="19"/>
      <c r="S33" s="24" t="s">
        <v>225</v>
      </c>
      <c r="T33" s="25">
        <v>65</v>
      </c>
      <c r="U33" s="25" t="s">
        <v>136</v>
      </c>
      <c r="V33" s="25">
        <v>200</v>
      </c>
      <c r="W33" s="33">
        <v>9</v>
      </c>
      <c r="X33" s="347" t="s">
        <v>219</v>
      </c>
      <c r="Y33" s="348">
        <v>125</v>
      </c>
      <c r="Z33" s="348"/>
      <c r="AA33" s="348">
        <v>29.990158258351975</v>
      </c>
      <c r="AB33" s="348">
        <v>200</v>
      </c>
      <c r="AC33" s="349"/>
      <c r="AE33" s="81">
        <v>9</v>
      </c>
      <c r="AF33" s="81">
        <v>1</v>
      </c>
      <c r="AG33" s="81">
        <v>-9</v>
      </c>
      <c r="AH33" s="82">
        <v>0.00028319080123804</v>
      </c>
      <c r="AI33" s="83"/>
      <c r="AJ33" s="94">
        <f t="shared" si="0"/>
        <v>-1.8021396359629107E-09</v>
      </c>
      <c r="AK33" s="94">
        <f t="shared" si="1"/>
        <v>-1.8021396359629107E-09</v>
      </c>
      <c r="AL33" s="94">
        <f t="shared" si="2"/>
        <v>-1.8021396359629107E-09</v>
      </c>
      <c r="AM33" s="94">
        <f t="shared" si="3"/>
        <v>-1.8021396359629107E-09</v>
      </c>
    </row>
    <row r="34" spans="2:39" ht="18.75" thickBot="1">
      <c r="B34" s="164"/>
      <c r="C34" s="123" t="s">
        <v>29</v>
      </c>
      <c r="D34" s="132" t="s">
        <v>80</v>
      </c>
      <c r="E34" s="133" t="s">
        <v>22</v>
      </c>
      <c r="F34" s="276">
        <v>153</v>
      </c>
      <c r="G34" s="276">
        <v>153</v>
      </c>
      <c r="H34" s="276">
        <v>153</v>
      </c>
      <c r="I34" s="276">
        <v>153</v>
      </c>
      <c r="J34" s="166"/>
      <c r="M34" s="43"/>
      <c r="O34" s="19"/>
      <c r="P34" s="19"/>
      <c r="Q34" s="19"/>
      <c r="R34" s="19"/>
      <c r="S34" s="24" t="s">
        <v>129</v>
      </c>
      <c r="T34" s="25">
        <v>80</v>
      </c>
      <c r="U34" s="25" t="s">
        <v>136</v>
      </c>
      <c r="V34" s="25">
        <v>200</v>
      </c>
      <c r="W34" s="33">
        <v>10</v>
      </c>
      <c r="X34" s="347" t="s">
        <v>220</v>
      </c>
      <c r="Y34" s="348">
        <v>125</v>
      </c>
      <c r="Z34" s="348"/>
      <c r="AA34" s="348">
        <v>48.11469890002347</v>
      </c>
      <c r="AB34" s="348">
        <v>250</v>
      </c>
      <c r="AC34" s="349"/>
      <c r="AE34" s="81">
        <v>10</v>
      </c>
      <c r="AF34" s="81">
        <v>1</v>
      </c>
      <c r="AG34" s="81">
        <v>-7</v>
      </c>
      <c r="AH34" s="82">
        <v>-0.00060706301565874</v>
      </c>
      <c r="AI34" s="83"/>
      <c r="AJ34" s="94">
        <f t="shared" si="0"/>
        <v>5.516636122070427E-08</v>
      </c>
      <c r="AK34" s="94">
        <f t="shared" si="1"/>
        <v>5.516636122070427E-08</v>
      </c>
      <c r="AL34" s="94">
        <f t="shared" si="2"/>
        <v>5.516636122070427E-08</v>
      </c>
      <c r="AM34" s="94">
        <f t="shared" si="3"/>
        <v>5.516636122070427E-08</v>
      </c>
    </row>
    <row r="35" spans="2:39" ht="16.5" thickBot="1">
      <c r="B35" s="164"/>
      <c r="C35" s="401" t="s">
        <v>78</v>
      </c>
      <c r="D35" s="402"/>
      <c r="E35" s="402"/>
      <c r="F35" s="402"/>
      <c r="G35" s="402"/>
      <c r="H35" s="402"/>
      <c r="I35" s="446"/>
      <c r="J35" s="166"/>
      <c r="M35" s="43"/>
      <c r="O35" s="19"/>
      <c r="P35" s="19"/>
      <c r="Q35" s="19"/>
      <c r="R35" s="19"/>
      <c r="S35" s="24" t="s">
        <v>130</v>
      </c>
      <c r="T35" s="25">
        <v>100</v>
      </c>
      <c r="U35" s="25" t="s">
        <v>136</v>
      </c>
      <c r="V35" s="25">
        <v>250</v>
      </c>
      <c r="W35" s="33">
        <v>11</v>
      </c>
      <c r="X35" s="354" t="s">
        <v>221</v>
      </c>
      <c r="Y35" s="355">
        <v>125</v>
      </c>
      <c r="Z35" s="355"/>
      <c r="AA35" s="355">
        <v>64.01076641616699</v>
      </c>
      <c r="AB35" s="355">
        <v>300</v>
      </c>
      <c r="AC35" s="349"/>
      <c r="AE35" s="81">
        <v>11</v>
      </c>
      <c r="AF35" s="81">
        <v>1</v>
      </c>
      <c r="AG35" s="81">
        <v>-1</v>
      </c>
      <c r="AH35" s="82">
        <v>-0.018990068218419</v>
      </c>
      <c r="AI35" s="83"/>
      <c r="AJ35" s="94">
        <f t="shared" si="0"/>
        <v>0.005025287245979511</v>
      </c>
      <c r="AK35" s="94">
        <f t="shared" si="1"/>
        <v>0.005025287245979511</v>
      </c>
      <c r="AL35" s="94">
        <f t="shared" si="2"/>
        <v>0.005025287245979511</v>
      </c>
      <c r="AM35" s="94">
        <f t="shared" si="3"/>
        <v>0.005025287245979511</v>
      </c>
    </row>
    <row r="36" spans="2:39" ht="15">
      <c r="B36" s="164"/>
      <c r="C36" s="134" t="s">
        <v>23</v>
      </c>
      <c r="D36" s="135" t="s">
        <v>73</v>
      </c>
      <c r="E36" s="136" t="s">
        <v>22</v>
      </c>
      <c r="F36" s="277">
        <f>VLOOKUP(F30,DyPFlow,2,FALSE)</f>
        <v>50</v>
      </c>
      <c r="G36" s="277">
        <f>VLOOKUP(G30,DyPFlow,2,FALSE)</f>
        <v>50</v>
      </c>
      <c r="H36" s="277">
        <f>VLOOKUP(H30,DyPFlow,2,FALSE)</f>
        <v>50</v>
      </c>
      <c r="I36" s="277">
        <f>VLOOKUP(I30,DyPFlow,2,FALSE)</f>
        <v>20</v>
      </c>
      <c r="J36" s="166"/>
      <c r="Q36" s="19"/>
      <c r="R36" s="19"/>
      <c r="S36" s="24" t="s">
        <v>199</v>
      </c>
      <c r="T36" s="25">
        <v>100</v>
      </c>
      <c r="U36" s="25" t="s">
        <v>137</v>
      </c>
      <c r="V36" s="25">
        <v>250</v>
      </c>
      <c r="W36" s="33">
        <v>12</v>
      </c>
      <c r="X36" s="329" t="s">
        <v>203</v>
      </c>
      <c r="Y36" s="330">
        <v>150</v>
      </c>
      <c r="Z36" s="330">
        <v>320</v>
      </c>
      <c r="AA36" s="330">
        <v>0</v>
      </c>
      <c r="AB36" s="330">
        <v>150</v>
      </c>
      <c r="AC36" s="248">
        <v>6</v>
      </c>
      <c r="AE36" s="81">
        <v>12</v>
      </c>
      <c r="AF36" s="81">
        <v>1</v>
      </c>
      <c r="AG36" s="81">
        <v>0</v>
      </c>
      <c r="AH36" s="82">
        <v>-0.032529748770505</v>
      </c>
      <c r="AI36" s="83"/>
      <c r="AJ36" s="94">
        <f t="shared" si="0"/>
        <v>0.032529748770505</v>
      </c>
      <c r="AK36" s="94">
        <f t="shared" si="1"/>
        <v>0.032529748770505</v>
      </c>
      <c r="AL36" s="94">
        <f t="shared" si="2"/>
        <v>0.032529748770505</v>
      </c>
      <c r="AM36" s="94">
        <f t="shared" si="3"/>
        <v>0.032529748770505</v>
      </c>
    </row>
    <row r="37" spans="2:39" ht="15">
      <c r="B37" s="164"/>
      <c r="C37" s="137" t="s">
        <v>25</v>
      </c>
      <c r="D37" s="138" t="s">
        <v>74</v>
      </c>
      <c r="E37" s="139" t="s">
        <v>22</v>
      </c>
      <c r="F37" s="278">
        <f>VLOOKUP(F31,ParamKM,5,FALSE)</f>
        <v>50</v>
      </c>
      <c r="G37" s="278">
        <f aca="true" t="shared" si="4" ref="G37:I38">VLOOKUP(G31,ParamKM,5,FALSE)</f>
        <v>50</v>
      </c>
      <c r="H37" s="278">
        <f t="shared" si="4"/>
        <v>50</v>
      </c>
      <c r="I37" s="278">
        <f t="shared" si="4"/>
        <v>25</v>
      </c>
      <c r="J37" s="166"/>
      <c r="M37" s="37"/>
      <c r="O37" s="19"/>
      <c r="P37" s="19"/>
      <c r="Q37" s="19"/>
      <c r="R37" s="19"/>
      <c r="S37" s="24" t="s">
        <v>200</v>
      </c>
      <c r="T37" s="25">
        <v>150</v>
      </c>
      <c r="U37" s="25" t="s">
        <v>137</v>
      </c>
      <c r="V37" s="25">
        <v>328</v>
      </c>
      <c r="W37" s="33">
        <v>13</v>
      </c>
      <c r="X37" s="246" t="s">
        <v>204</v>
      </c>
      <c r="Y37" s="247">
        <v>150</v>
      </c>
      <c r="Z37" s="247">
        <v>1280</v>
      </c>
      <c r="AA37" s="247">
        <v>20.249343310795634</v>
      </c>
      <c r="AB37" s="247">
        <v>200</v>
      </c>
      <c r="AC37" s="248"/>
      <c r="AE37" s="81">
        <v>13</v>
      </c>
      <c r="AF37" s="81">
        <v>1</v>
      </c>
      <c r="AG37" s="81">
        <v>1</v>
      </c>
      <c r="AH37" s="82">
        <v>-0.021841717175414</v>
      </c>
      <c r="AI37" s="83"/>
      <c r="AJ37" s="94">
        <f t="shared" si="0"/>
        <v>0.082537709560855</v>
      </c>
      <c r="AK37" s="94">
        <f t="shared" si="1"/>
        <v>0.082537709560855</v>
      </c>
      <c r="AL37" s="94">
        <f t="shared" si="2"/>
        <v>0.082537709560855</v>
      </c>
      <c r="AM37" s="94">
        <f t="shared" si="3"/>
        <v>0.082537709560855</v>
      </c>
    </row>
    <row r="38" spans="2:39" ht="15">
      <c r="B38" s="164"/>
      <c r="C38" s="137" t="s">
        <v>27</v>
      </c>
      <c r="D38" s="138" t="s">
        <v>75</v>
      </c>
      <c r="E38" s="139" t="s">
        <v>22</v>
      </c>
      <c r="F38" s="279">
        <f>VLOOKUP(F32,ParamKM,5,FALSE)</f>
        <v>50</v>
      </c>
      <c r="G38" s="279">
        <f t="shared" si="4"/>
        <v>50</v>
      </c>
      <c r="H38" s="279">
        <f t="shared" si="4"/>
        <v>50</v>
      </c>
      <c r="I38" s="279">
        <f t="shared" si="4"/>
        <v>25</v>
      </c>
      <c r="J38" s="166"/>
      <c r="M38" s="37"/>
      <c r="O38" s="19"/>
      <c r="P38" s="19"/>
      <c r="Q38" s="19"/>
      <c r="R38" s="19"/>
      <c r="U38"/>
      <c r="V38"/>
      <c r="W38" s="33">
        <v>14</v>
      </c>
      <c r="X38" s="246" t="s">
        <v>205</v>
      </c>
      <c r="Y38" s="247">
        <v>150</v>
      </c>
      <c r="Z38" s="247">
        <v>1280</v>
      </c>
      <c r="AA38" s="247">
        <v>31.048221993508513</v>
      </c>
      <c r="AB38" s="247">
        <v>250</v>
      </c>
      <c r="AC38" s="248"/>
      <c r="AE38" s="81">
        <v>14</v>
      </c>
      <c r="AF38" s="81">
        <v>1</v>
      </c>
      <c r="AG38" s="81">
        <v>3</v>
      </c>
      <c r="AH38" s="82">
        <v>-5.283835796993E-05</v>
      </c>
      <c r="AI38" s="83"/>
      <c r="AJ38" s="94">
        <f t="shared" si="0"/>
        <v>0.0028513216654837198</v>
      </c>
      <c r="AK38" s="94">
        <f t="shared" si="1"/>
        <v>0.0028513216654837198</v>
      </c>
      <c r="AL38" s="94">
        <f t="shared" si="2"/>
        <v>0.0028513216654837198</v>
      </c>
      <c r="AM38" s="94">
        <f t="shared" si="3"/>
        <v>0.0028513216654837198</v>
      </c>
    </row>
    <row r="39" spans="2:39" ht="15.75">
      <c r="B39" s="164"/>
      <c r="C39" s="137" t="s">
        <v>32</v>
      </c>
      <c r="D39" s="140" t="s">
        <v>82</v>
      </c>
      <c r="E39" s="139" t="s">
        <v>33</v>
      </c>
      <c r="F39" s="280">
        <f aca="true" t="shared" si="5" ref="F39:I40">VLOOKUP(F31,ParamKM,4,FALSE)</f>
        <v>0</v>
      </c>
      <c r="G39" s="281">
        <f t="shared" si="5"/>
        <v>0</v>
      </c>
      <c r="H39" s="281">
        <f t="shared" si="5"/>
        <v>0</v>
      </c>
      <c r="I39" s="281">
        <f t="shared" si="5"/>
        <v>5.6127405035765</v>
      </c>
      <c r="J39" s="166"/>
      <c r="M39" s="447" t="s">
        <v>144</v>
      </c>
      <c r="N39" s="448"/>
      <c r="O39" s="448"/>
      <c r="P39" s="448"/>
      <c r="Q39" s="449"/>
      <c r="R39" s="19"/>
      <c r="U39"/>
      <c r="V39"/>
      <c r="W39" s="33">
        <v>15</v>
      </c>
      <c r="X39" s="246" t="s">
        <v>206</v>
      </c>
      <c r="Y39" s="247">
        <v>150</v>
      </c>
      <c r="Z39" s="247">
        <v>1280</v>
      </c>
      <c r="AA39" s="247">
        <v>56.35718021991835</v>
      </c>
      <c r="AB39" s="247">
        <v>300</v>
      </c>
      <c r="AC39" s="248"/>
      <c r="AE39" s="81">
        <v>15</v>
      </c>
      <c r="AF39" s="81">
        <v>2</v>
      </c>
      <c r="AG39" s="81">
        <v>-3</v>
      </c>
      <c r="AH39" s="82">
        <v>-0.00047184321073267</v>
      </c>
      <c r="AI39" s="83"/>
      <c r="AJ39" s="94">
        <f t="shared" si="0"/>
        <v>0.00012343589565193706</v>
      </c>
      <c r="AK39" s="94">
        <f t="shared" si="1"/>
        <v>0.00012343589565193706</v>
      </c>
      <c r="AL39" s="94">
        <f t="shared" si="2"/>
        <v>0.00012343589565193706</v>
      </c>
      <c r="AM39" s="94">
        <f t="shared" si="3"/>
        <v>0.00012343589565193706</v>
      </c>
    </row>
    <row r="40" spans="2:39" ht="16.5" thickBot="1">
      <c r="B40" s="164"/>
      <c r="C40" s="141" t="s">
        <v>35</v>
      </c>
      <c r="D40" s="142" t="s">
        <v>83</v>
      </c>
      <c r="E40" s="143" t="s">
        <v>33</v>
      </c>
      <c r="F40" s="282">
        <f t="shared" si="5"/>
        <v>0</v>
      </c>
      <c r="G40" s="283">
        <f t="shared" si="5"/>
        <v>0</v>
      </c>
      <c r="H40" s="283">
        <f t="shared" si="5"/>
        <v>0</v>
      </c>
      <c r="I40" s="283">
        <f t="shared" si="5"/>
        <v>5.6127405035765</v>
      </c>
      <c r="J40" s="166"/>
      <c r="M40" s="463" t="s">
        <v>141</v>
      </c>
      <c r="N40" s="463"/>
      <c r="O40" s="463"/>
      <c r="P40" s="463"/>
      <c r="Q40" s="463"/>
      <c r="R40" s="19"/>
      <c r="W40" s="33">
        <v>16</v>
      </c>
      <c r="X40" s="333" t="s">
        <v>207</v>
      </c>
      <c r="Y40" s="247">
        <v>150</v>
      </c>
      <c r="Z40" s="247">
        <v>1280</v>
      </c>
      <c r="AA40" s="247">
        <v>48.88790956083307</v>
      </c>
      <c r="AB40" s="247">
        <v>350</v>
      </c>
      <c r="AC40" s="248"/>
      <c r="AE40" s="81">
        <v>16</v>
      </c>
      <c r="AF40" s="81">
        <v>2</v>
      </c>
      <c r="AG40" s="81">
        <v>0</v>
      </c>
      <c r="AH40" s="82">
        <v>-0.00030001780793026</v>
      </c>
      <c r="AI40" s="83"/>
      <c r="AJ40" s="94">
        <f t="shared" si="0"/>
        <v>0.004235334315497804</v>
      </c>
      <c r="AK40" s="94">
        <f t="shared" si="1"/>
        <v>0.004235334315497804</v>
      </c>
      <c r="AL40" s="94">
        <f t="shared" si="2"/>
        <v>0.004235334315497804</v>
      </c>
      <c r="AM40" s="94">
        <f t="shared" si="3"/>
        <v>0.004235334315497804</v>
      </c>
    </row>
    <row r="41" spans="2:39" ht="15.75" thickBot="1">
      <c r="B41" s="164"/>
      <c r="C41" s="389" t="s">
        <v>115</v>
      </c>
      <c r="D41" s="390"/>
      <c r="E41" s="390"/>
      <c r="F41" s="390"/>
      <c r="G41" s="390"/>
      <c r="H41" s="390"/>
      <c r="I41" s="464"/>
      <c r="J41" s="166"/>
      <c r="M41" s="156">
        <v>20</v>
      </c>
      <c r="N41" s="200">
        <v>-0.0002468531468531668</v>
      </c>
      <c r="O41" s="200">
        <v>0.0002319347319347367</v>
      </c>
      <c r="P41" s="200">
        <v>0.009702564102564105</v>
      </c>
      <c r="Q41" s="200">
        <v>-0.00039440559440559475</v>
      </c>
      <c r="R41" s="19"/>
      <c r="W41" s="33">
        <v>17</v>
      </c>
      <c r="X41" s="334" t="s">
        <v>210</v>
      </c>
      <c r="Y41" s="335">
        <v>150</v>
      </c>
      <c r="Z41" s="335"/>
      <c r="AA41" s="335">
        <v>59.20890149200982</v>
      </c>
      <c r="AB41" s="335">
        <v>400</v>
      </c>
      <c r="AC41" s="332"/>
      <c r="AE41" s="81">
        <v>17</v>
      </c>
      <c r="AF41" s="81">
        <v>2</v>
      </c>
      <c r="AG41" s="81">
        <v>1</v>
      </c>
      <c r="AH41" s="82">
        <v>4.7661393906987E-05</v>
      </c>
      <c r="AI41" s="83"/>
      <c r="AJ41" s="94">
        <f t="shared" si="0"/>
        <v>-0.0025425706928304636</v>
      </c>
      <c r="AK41" s="94">
        <f t="shared" si="1"/>
        <v>-0.0025425706928304636</v>
      </c>
      <c r="AL41" s="94">
        <f t="shared" si="2"/>
        <v>-0.0025425706928304636</v>
      </c>
      <c r="AM41" s="94">
        <f t="shared" si="3"/>
        <v>-0.0025425706928304636</v>
      </c>
    </row>
    <row r="42" spans="2:39" ht="16.5" thickTop="1">
      <c r="B42" s="164"/>
      <c r="C42" s="144" t="s">
        <v>91</v>
      </c>
      <c r="D42" s="145" t="s">
        <v>37</v>
      </c>
      <c r="E42" s="146" t="s">
        <v>38</v>
      </c>
      <c r="F42" s="284">
        <f>1/N29*1000</f>
        <v>1000.2647431100975</v>
      </c>
      <c r="G42" s="285">
        <f>1/O29*1000</f>
        <v>1000.2647431100975</v>
      </c>
      <c r="H42" s="285">
        <f>1/P29*1000</f>
        <v>1000.2647431100975</v>
      </c>
      <c r="I42" s="285">
        <f>1/Q29*1000</f>
        <v>1000.2647431100975</v>
      </c>
      <c r="J42" s="166"/>
      <c r="M42" s="156">
        <v>32</v>
      </c>
      <c r="N42" s="200">
        <v>-0.0002139860139860159</v>
      </c>
      <c r="O42" s="200">
        <v>0.0017598290598290689</v>
      </c>
      <c r="P42" s="200">
        <v>0.0025531468531468492</v>
      </c>
      <c r="Q42" s="200">
        <v>-4.491064491064453E-05</v>
      </c>
      <c r="R42" s="19"/>
      <c r="W42" s="33">
        <v>18</v>
      </c>
      <c r="X42" s="59" t="s">
        <v>24</v>
      </c>
      <c r="Y42" s="60">
        <v>20</v>
      </c>
      <c r="Z42" s="60">
        <v>155</v>
      </c>
      <c r="AA42" s="60">
        <v>0</v>
      </c>
      <c r="AB42" s="60">
        <v>20</v>
      </c>
      <c r="AC42" s="361" t="s">
        <v>212</v>
      </c>
      <c r="AE42" s="81">
        <v>18</v>
      </c>
      <c r="AF42" s="81">
        <v>2</v>
      </c>
      <c r="AG42" s="81">
        <v>3</v>
      </c>
      <c r="AH42" s="82">
        <v>-4.4141845330846E-06</v>
      </c>
      <c r="AI42" s="83"/>
      <c r="AJ42" s="94">
        <f t="shared" si="0"/>
        <v>0.0033626994228277674</v>
      </c>
      <c r="AK42" s="94">
        <f t="shared" si="1"/>
        <v>0.0033626994228277674</v>
      </c>
      <c r="AL42" s="94">
        <f t="shared" si="2"/>
        <v>0.0033626994228277674</v>
      </c>
      <c r="AM42" s="94">
        <f t="shared" si="3"/>
        <v>0.0033626994228277674</v>
      </c>
    </row>
    <row r="43" spans="2:39" ht="15">
      <c r="B43" s="164"/>
      <c r="C43" s="137" t="s">
        <v>40</v>
      </c>
      <c r="D43" s="121" t="s">
        <v>41</v>
      </c>
      <c r="E43" s="130" t="s">
        <v>42</v>
      </c>
      <c r="F43" s="286">
        <f>F27*1000/F42</f>
        <v>0.9997353269602662</v>
      </c>
      <c r="G43" s="287">
        <f>G27*1000/G42</f>
        <v>1.9994706539205325</v>
      </c>
      <c r="H43" s="287">
        <f>H27*1000/H42</f>
        <v>2.9992059808807987</v>
      </c>
      <c r="I43" s="287">
        <f>I27*1000/I42</f>
        <v>3.998941307841065</v>
      </c>
      <c r="J43" s="166"/>
      <c r="M43" s="156">
        <v>40</v>
      </c>
      <c r="N43" s="200">
        <v>-6.293706293706433E-05</v>
      </c>
      <c r="O43" s="200">
        <v>0.00117637917637918</v>
      </c>
      <c r="P43" s="200">
        <v>0.001393939393939393</v>
      </c>
      <c r="Q43" s="200">
        <v>3.108003108003199E-06</v>
      </c>
      <c r="R43" s="19"/>
      <c r="W43" s="33"/>
      <c r="X43" s="498" t="s">
        <v>240</v>
      </c>
      <c r="Y43" s="499">
        <v>20</v>
      </c>
      <c r="Z43" s="499">
        <v>391</v>
      </c>
      <c r="AA43" s="499">
        <v>5.6127405035765</v>
      </c>
      <c r="AB43" s="499">
        <v>25</v>
      </c>
      <c r="AC43" s="361"/>
      <c r="AE43" s="81">
        <v>19</v>
      </c>
      <c r="AF43" s="81">
        <v>2</v>
      </c>
      <c r="AG43" s="81">
        <v>17</v>
      </c>
      <c r="AH43" s="82">
        <v>-7.2694996297594E-16</v>
      </c>
      <c r="AI43" s="83"/>
      <c r="AJ43" s="94">
        <f t="shared" si="0"/>
        <v>6.705959956676144E-05</v>
      </c>
      <c r="AK43" s="94">
        <f t="shared" si="1"/>
        <v>6.705959956676144E-05</v>
      </c>
      <c r="AL43" s="94">
        <f t="shared" si="2"/>
        <v>6.705959956676144E-05</v>
      </c>
      <c r="AM43" s="94">
        <f t="shared" si="3"/>
        <v>6.705959956676144E-05</v>
      </c>
    </row>
    <row r="44" spans="2:39" ht="15">
      <c r="B44" s="164"/>
      <c r="C44" s="137" t="s">
        <v>44</v>
      </c>
      <c r="D44" s="138" t="s">
        <v>45</v>
      </c>
      <c r="E44" s="139" t="s">
        <v>46</v>
      </c>
      <c r="F44" s="286">
        <f>(F43/3.6)/((PI()*F36^2)/4000)</f>
        <v>0.14143361695050538</v>
      </c>
      <c r="G44" s="287">
        <f>(G43/3.6)/((PI()*G36^2)/4000)</f>
        <v>0.28286723390101076</v>
      </c>
      <c r="H44" s="287">
        <f>(H43/3.6)/((PI()*H36^2)/4000)</f>
        <v>0.42430085085151614</v>
      </c>
      <c r="I44" s="287">
        <f>(I43/3.6)/((PI()*I36^2)/4000)</f>
        <v>3.535840423762634</v>
      </c>
      <c r="J44" s="166"/>
      <c r="M44" s="156">
        <v>50</v>
      </c>
      <c r="N44" s="200">
        <v>-6.293706293706433E-05</v>
      </c>
      <c r="O44" s="200">
        <v>0.00117637917637918</v>
      </c>
      <c r="P44" s="200">
        <v>0.001393939393939393</v>
      </c>
      <c r="Q44" s="200">
        <v>3.108003108003199E-06</v>
      </c>
      <c r="R44" s="19"/>
      <c r="W44" s="33">
        <v>19</v>
      </c>
      <c r="X44" s="61" t="s">
        <v>26</v>
      </c>
      <c r="Y44" s="62">
        <v>20</v>
      </c>
      <c r="Z44" s="62">
        <v>391</v>
      </c>
      <c r="AA44" s="62">
        <v>22.619864948040426</v>
      </c>
      <c r="AB44" s="62">
        <v>32</v>
      </c>
      <c r="AC44" s="108"/>
      <c r="AE44" s="81">
        <v>20</v>
      </c>
      <c r="AF44" s="81">
        <v>3</v>
      </c>
      <c r="AG44" s="81">
        <v>-4</v>
      </c>
      <c r="AH44" s="82">
        <v>-3.1679644845054E-05</v>
      </c>
      <c r="AI44" s="83"/>
      <c r="AJ44" s="94">
        <f t="shared" si="0"/>
        <v>2.3219900767368466E-05</v>
      </c>
      <c r="AK44" s="94">
        <f t="shared" si="1"/>
        <v>2.3219900767368466E-05</v>
      </c>
      <c r="AL44" s="94">
        <f t="shared" si="2"/>
        <v>2.3219900767368466E-05</v>
      </c>
      <c r="AM44" s="94">
        <f t="shared" si="3"/>
        <v>2.3219900767368466E-05</v>
      </c>
    </row>
    <row r="45" spans="2:39" ht="15">
      <c r="B45" s="164"/>
      <c r="C45" s="137" t="s">
        <v>48</v>
      </c>
      <c r="D45" s="138" t="s">
        <v>49</v>
      </c>
      <c r="E45" s="139" t="s">
        <v>46</v>
      </c>
      <c r="F45" s="286">
        <f>(F43/3.6)/((PI()*F37^2)/4000)</f>
        <v>0.14143361695050538</v>
      </c>
      <c r="G45" s="287">
        <f>(G43/3.6)/((PI()*G37^2)/4000)</f>
        <v>0.28286723390101076</v>
      </c>
      <c r="H45" s="287">
        <f>(H43/3.6)/((PI()*H37^2)/4000)</f>
        <v>0.42430085085151614</v>
      </c>
      <c r="I45" s="287">
        <f>(I43/3.6)/((PI()*I37^2)/4000)</f>
        <v>2.262937871208086</v>
      </c>
      <c r="J45" s="166"/>
      <c r="M45" s="156">
        <v>65</v>
      </c>
      <c r="N45" s="200">
        <v>-7.62237762237754E-05</v>
      </c>
      <c r="O45" s="200">
        <v>0.0006231546231546242</v>
      </c>
      <c r="P45" s="200">
        <v>0.001742424242424242</v>
      </c>
      <c r="Q45" s="200">
        <v>-4.18026418026418E-05</v>
      </c>
      <c r="R45" s="19"/>
      <c r="W45" s="33">
        <v>20</v>
      </c>
      <c r="X45" s="61" t="s">
        <v>28</v>
      </c>
      <c r="Y45" s="62">
        <v>20</v>
      </c>
      <c r="Z45" s="62">
        <v>391</v>
      </c>
      <c r="AA45" s="62">
        <v>36.86989764584402</v>
      </c>
      <c r="AB45" s="62">
        <v>40</v>
      </c>
      <c r="AC45" s="108"/>
      <c r="AE45" s="81">
        <v>21</v>
      </c>
      <c r="AF45" s="81">
        <v>3</v>
      </c>
      <c r="AG45" s="81">
        <v>0</v>
      </c>
      <c r="AH45" s="82">
        <v>-2.8270797985312E-06</v>
      </c>
      <c r="AI45" s="83"/>
      <c r="AJ45" s="94">
        <f t="shared" si="0"/>
        <v>0.00042255248246437864</v>
      </c>
      <c r="AK45" s="94">
        <f t="shared" si="1"/>
        <v>0.00042255248246437864</v>
      </c>
      <c r="AL45" s="94">
        <f t="shared" si="2"/>
        <v>0.00042255248246437864</v>
      </c>
      <c r="AM45" s="94">
        <f t="shared" si="3"/>
        <v>0.00042255248246437864</v>
      </c>
    </row>
    <row r="46" spans="2:39" ht="15.75" thickBot="1">
      <c r="B46" s="164"/>
      <c r="C46" s="137" t="s">
        <v>51</v>
      </c>
      <c r="D46" s="138" t="s">
        <v>52</v>
      </c>
      <c r="E46" s="139" t="s">
        <v>46</v>
      </c>
      <c r="F46" s="286">
        <f>(F43/3.6)/((PI()*F38^2)/4000)</f>
        <v>0.14143361695050538</v>
      </c>
      <c r="G46" s="287">
        <f>(G43/3.6)/((PI()*G38^2)/4000)</f>
        <v>0.28286723390101076</v>
      </c>
      <c r="H46" s="287">
        <f>(H43/3.6)/((PI()*H38^2)/4000)</f>
        <v>0.42430085085151614</v>
      </c>
      <c r="I46" s="287">
        <f>(I43/3.6)/((PI()*I38^2)/4000)</f>
        <v>2.262937871208086</v>
      </c>
      <c r="J46" s="166"/>
      <c r="M46" s="156">
        <v>80</v>
      </c>
      <c r="N46" s="200">
        <v>-7.62237762237754E-05</v>
      </c>
      <c r="O46" s="200">
        <v>0.0006231546231546242</v>
      </c>
      <c r="P46" s="200">
        <v>0.001742424242424242</v>
      </c>
      <c r="Q46" s="200">
        <v>-4.18026418026418E-05</v>
      </c>
      <c r="R46" s="19"/>
      <c r="W46" s="33">
        <v>21</v>
      </c>
      <c r="X46" s="359" t="s">
        <v>30</v>
      </c>
      <c r="Y46" s="360">
        <v>20</v>
      </c>
      <c r="Z46" s="360">
        <v>391</v>
      </c>
      <c r="AA46" s="360">
        <v>36.86989764584402</v>
      </c>
      <c r="AB46" s="360">
        <v>50</v>
      </c>
      <c r="AC46" s="108"/>
      <c r="AE46" s="81">
        <v>22</v>
      </c>
      <c r="AF46" s="81">
        <v>3</v>
      </c>
      <c r="AG46" s="81">
        <v>6</v>
      </c>
      <c r="AH46" s="82">
        <v>-8.5205128120103E-10</v>
      </c>
      <c r="AI46" s="83"/>
      <c r="AJ46" s="94">
        <f t="shared" si="0"/>
        <v>0.00037085328173208307</v>
      </c>
      <c r="AK46" s="94">
        <f t="shared" si="1"/>
        <v>0.00037085328173208307</v>
      </c>
      <c r="AL46" s="94">
        <f t="shared" si="2"/>
        <v>0.00037085328173208307</v>
      </c>
      <c r="AM46" s="94">
        <f t="shared" si="3"/>
        <v>0.00037085328173208307</v>
      </c>
    </row>
    <row r="47" spans="2:39" ht="15.75" thickBot="1">
      <c r="B47" s="164"/>
      <c r="C47" s="465" t="s">
        <v>146</v>
      </c>
      <c r="D47" s="466"/>
      <c r="E47" s="466"/>
      <c r="F47" s="466"/>
      <c r="G47" s="466"/>
      <c r="H47" s="466"/>
      <c r="I47" s="467"/>
      <c r="J47" s="166"/>
      <c r="M47" s="156">
        <v>100</v>
      </c>
      <c r="N47" s="200">
        <v>-9.523809523806885E-06</v>
      </c>
      <c r="O47" s="200">
        <v>0.0005158730158730156</v>
      </c>
      <c r="P47" s="200">
        <v>0.0011226190476190472</v>
      </c>
      <c r="Q47" s="200">
        <v>-2.7777777777776928E-06</v>
      </c>
      <c r="R47" s="19"/>
      <c r="W47" s="33">
        <v>22</v>
      </c>
      <c r="X47" s="63" t="s">
        <v>222</v>
      </c>
      <c r="Y47" s="64">
        <v>20</v>
      </c>
      <c r="Z47" s="64">
        <v>391</v>
      </c>
      <c r="AA47" s="64">
        <v>23.967938744009437</v>
      </c>
      <c r="AB47" s="64">
        <v>65</v>
      </c>
      <c r="AC47" s="108"/>
      <c r="AE47" s="81">
        <v>23</v>
      </c>
      <c r="AF47" s="81">
        <v>4</v>
      </c>
      <c r="AG47" s="81">
        <v>-5</v>
      </c>
      <c r="AH47" s="82">
        <v>-2.2425281908E-06</v>
      </c>
      <c r="AI47" s="83"/>
      <c r="AJ47" s="94">
        <f t="shared" si="0"/>
        <v>4.093565437176708E-06</v>
      </c>
      <c r="AK47" s="94">
        <f t="shared" si="1"/>
        <v>4.093565437176708E-06</v>
      </c>
      <c r="AL47" s="94">
        <f t="shared" si="2"/>
        <v>4.093565437176708E-06</v>
      </c>
      <c r="AM47" s="94">
        <f t="shared" si="3"/>
        <v>4.093565437176708E-06</v>
      </c>
    </row>
    <row r="48" spans="2:39" ht="15.75" thickTop="1">
      <c r="B48" s="164"/>
      <c r="C48" s="258" t="s">
        <v>61</v>
      </c>
      <c r="D48" s="14"/>
      <c r="E48" s="15"/>
      <c r="F48" s="95"/>
      <c r="G48" s="51"/>
      <c r="H48" s="51"/>
      <c r="I48" s="51"/>
      <c r="J48" s="167"/>
      <c r="K48" s="37"/>
      <c r="M48" s="189"/>
      <c r="N48" s="190"/>
      <c r="O48" s="190"/>
      <c r="P48" s="190"/>
      <c r="Q48" s="190"/>
      <c r="R48" s="19"/>
      <c r="W48" s="33">
        <v>23</v>
      </c>
      <c r="X48" s="65" t="s">
        <v>31</v>
      </c>
      <c r="Y48" s="66">
        <v>32</v>
      </c>
      <c r="Z48" s="67">
        <v>200</v>
      </c>
      <c r="AA48" s="66">
        <v>0</v>
      </c>
      <c r="AB48" s="66">
        <v>32</v>
      </c>
      <c r="AC48" s="109" t="s">
        <v>117</v>
      </c>
      <c r="AE48" s="81">
        <v>24</v>
      </c>
      <c r="AF48" s="81">
        <v>4</v>
      </c>
      <c r="AG48" s="81">
        <v>-2</v>
      </c>
      <c r="AH48" s="82">
        <v>-6.5171222895601E-07</v>
      </c>
      <c r="AI48" s="83"/>
      <c r="AJ48" s="94">
        <f t="shared" si="0"/>
        <v>6.41972755308854E-05</v>
      </c>
      <c r="AK48" s="94">
        <f t="shared" si="1"/>
        <v>6.41972755308854E-05</v>
      </c>
      <c r="AL48" s="94">
        <f t="shared" si="2"/>
        <v>6.41972755308854E-05</v>
      </c>
      <c r="AM48" s="94">
        <f t="shared" si="3"/>
        <v>6.41972755308854E-05</v>
      </c>
    </row>
    <row r="49" spans="2:93" ht="19.5">
      <c r="B49" s="164"/>
      <c r="C49" s="137" t="s">
        <v>63</v>
      </c>
      <c r="D49" s="301" t="s">
        <v>85</v>
      </c>
      <c r="E49" s="139"/>
      <c r="F49" s="286">
        <f>IF(F39=0,0,(F52/(8*SIN(RADIANS(F39/2))))*(1-(F36/F37)^4))</f>
        <v>0</v>
      </c>
      <c r="G49" s="287">
        <f>IF(G39=0,0,(G52/(8*SIN(RADIANS(G39/2))))*(1-(G36/G37)^4))</f>
        <v>0</v>
      </c>
      <c r="H49" s="287">
        <f>IF(H39=0,0,(H52/(8*SIN(RADIANS(H39/2))))*(1-(H36/H37)^4))</f>
        <v>0</v>
      </c>
      <c r="I49" s="287">
        <f>IF(I39=0,0,(I52/(8*SIN(RADIANS(I39/2))))*(1-(I36/I37)^4))</f>
        <v>0.07987374872010888</v>
      </c>
      <c r="J49" s="167"/>
      <c r="K49" s="2"/>
      <c r="L49" s="155"/>
      <c r="M49" s="190"/>
      <c r="N49" s="190"/>
      <c r="O49" s="190"/>
      <c r="P49" s="190"/>
      <c r="Q49" s="190"/>
      <c r="R49" s="26"/>
      <c r="W49" s="33">
        <v>24</v>
      </c>
      <c r="X49" s="68" t="s">
        <v>34</v>
      </c>
      <c r="Y49" s="67">
        <v>32</v>
      </c>
      <c r="Z49" s="67">
        <v>440</v>
      </c>
      <c r="AA49" s="67">
        <v>15.18928673718289</v>
      </c>
      <c r="AB49" s="67">
        <v>40</v>
      </c>
      <c r="AC49" s="109"/>
      <c r="AD49" s="2"/>
      <c r="AE49" s="81">
        <v>25</v>
      </c>
      <c r="AF49" s="81">
        <v>4</v>
      </c>
      <c r="AG49" s="81">
        <v>10</v>
      </c>
      <c r="AH49" s="82">
        <v>-1.4341729937924E-13</v>
      </c>
      <c r="AI49" s="83"/>
      <c r="AJ49" s="94">
        <f t="shared" si="0"/>
        <v>0.0001197980840214515</v>
      </c>
      <c r="AK49" s="94">
        <f t="shared" si="1"/>
        <v>0.0001197980840214515</v>
      </c>
      <c r="AL49" s="94">
        <f t="shared" si="2"/>
        <v>0.0001197980840214515</v>
      </c>
      <c r="AM49" s="94">
        <f t="shared" si="3"/>
        <v>0.0001197980840214515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64"/>
      <c r="C50" s="137" t="s">
        <v>65</v>
      </c>
      <c r="D50" s="316" t="s">
        <v>121</v>
      </c>
      <c r="E50" s="139" t="s">
        <v>66</v>
      </c>
      <c r="F50" s="288">
        <f>F49*F44^2/(2*9.81)</f>
        <v>0</v>
      </c>
      <c r="G50" s="289">
        <f>G49*G44^2/(2*9.81)</f>
        <v>0</v>
      </c>
      <c r="H50" s="289">
        <f>H49*H44^2/(2*9.81)</f>
        <v>0</v>
      </c>
      <c r="I50" s="289">
        <f>I49*I44^2/(2*9.81)</f>
        <v>0.05089678825364596</v>
      </c>
      <c r="J50" s="168"/>
      <c r="K50" s="3"/>
      <c r="L50" s="155"/>
      <c r="M50" s="190"/>
      <c r="N50" s="191">
        <f ca="1">OFFSET(InterpolCoeff,MATCH(G36,InterpolCoeff,0)-1,1,1,1)</f>
        <v>-6.293706293706433E-05</v>
      </c>
      <c r="O50" s="190">
        <f ca="1">OFFSET(InterpolCoeff,MATCH(G36,InterpolCoeff,0)-1,2,1,1)</f>
        <v>0.00117637917637918</v>
      </c>
      <c r="P50" s="190">
        <f ca="1">OFFSET(InterpolCoeff,MATCH(G36,InterpolCoeff,0)-1,3,1,1)</f>
        <v>0.001393939393939393</v>
      </c>
      <c r="Q50" s="190">
        <f ca="1">OFFSET(InterpolCoeff,MATCH(G36,InterpolCoeff,0)-1,4,1,1)</f>
        <v>3.108003108003199E-06</v>
      </c>
      <c r="R50" s="27"/>
      <c r="W50" s="33">
        <v>25</v>
      </c>
      <c r="X50" s="68" t="s">
        <v>18</v>
      </c>
      <c r="Y50" s="67">
        <v>32</v>
      </c>
      <c r="Z50" s="67">
        <v>440</v>
      </c>
      <c r="AA50" s="67">
        <v>22.619864948040426</v>
      </c>
      <c r="AB50" s="67">
        <v>50</v>
      </c>
      <c r="AC50" s="109"/>
      <c r="AD50" s="3"/>
      <c r="AE50" s="81">
        <v>26</v>
      </c>
      <c r="AF50" s="81">
        <v>5</v>
      </c>
      <c r="AG50" s="81">
        <v>-8</v>
      </c>
      <c r="AH50" s="82">
        <v>-4.0516996860117E-07</v>
      </c>
      <c r="AI50" s="83"/>
      <c r="AJ50" s="94">
        <f t="shared" si="0"/>
        <v>1.209274383560746E-07</v>
      </c>
      <c r="AK50" s="94">
        <f t="shared" si="1"/>
        <v>1.209274383560746E-07</v>
      </c>
      <c r="AL50" s="94">
        <f t="shared" si="2"/>
        <v>1.209274383560746E-07</v>
      </c>
      <c r="AM50" s="94">
        <f t="shared" si="3"/>
        <v>1.209274383560746E-07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5.75">
      <c r="B51" s="164"/>
      <c r="C51" s="147" t="s">
        <v>140</v>
      </c>
      <c r="D51" s="322"/>
      <c r="E51" s="16"/>
      <c r="F51" s="290"/>
      <c r="G51" s="291"/>
      <c r="H51" s="291"/>
      <c r="I51" s="291"/>
      <c r="J51" s="169"/>
      <c r="K51" s="4"/>
      <c r="L51" s="155"/>
      <c r="M51" s="190"/>
      <c r="N51" s="192"/>
      <c r="O51" s="195"/>
      <c r="P51" s="195"/>
      <c r="Q51" s="195"/>
      <c r="R51" s="28"/>
      <c r="W51" s="33">
        <v>26</v>
      </c>
      <c r="X51" s="68" t="s">
        <v>36</v>
      </c>
      <c r="Y51" s="67">
        <v>32</v>
      </c>
      <c r="Z51" s="67">
        <v>440</v>
      </c>
      <c r="AA51" s="67">
        <v>33.39848846798724</v>
      </c>
      <c r="AB51" s="67">
        <v>65</v>
      </c>
      <c r="AC51" s="109"/>
      <c r="AD51" s="4"/>
      <c r="AE51" s="81">
        <v>27</v>
      </c>
      <c r="AF51" s="81">
        <v>8</v>
      </c>
      <c r="AG51" s="81">
        <v>-11</v>
      </c>
      <c r="AH51" s="82">
        <v>-1.2734301741641E-09</v>
      </c>
      <c r="AI51" s="83"/>
      <c r="AJ51" s="94">
        <f t="shared" si="0"/>
        <v>3.962943005752236E-09</v>
      </c>
      <c r="AK51" s="94">
        <f t="shared" si="1"/>
        <v>3.962943005752236E-09</v>
      </c>
      <c r="AL51" s="94">
        <f t="shared" si="2"/>
        <v>3.962943005752236E-09</v>
      </c>
      <c r="AM51" s="94">
        <f t="shared" si="3"/>
        <v>3.962943005752236E-09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6.5" thickBot="1">
      <c r="B52" s="164"/>
      <c r="C52" s="148" t="s">
        <v>90</v>
      </c>
      <c r="D52" s="318" t="s">
        <v>68</v>
      </c>
      <c r="E52" s="139"/>
      <c r="F52" s="286">
        <f>1/(1.14+2*LOG((F36/F33),10))^2</f>
        <v>0.03785068661145514</v>
      </c>
      <c r="G52" s="286">
        <f>1/(1.14+2*LOG((G36/G33),10))^2</f>
        <v>0.03785068661145514</v>
      </c>
      <c r="H52" s="286">
        <f>1/(1.14+2*LOG((H36/H33),10))^2</f>
        <v>0.03785068661145514</v>
      </c>
      <c r="I52" s="286">
        <f>1/(1.14+2*LOG((I36/I33),10))^2</f>
        <v>0.05299029978348444</v>
      </c>
      <c r="J52" s="169"/>
      <c r="K52" s="4"/>
      <c r="L52" s="155"/>
      <c r="M52" s="339"/>
      <c r="N52" s="339"/>
      <c r="O52" s="196"/>
      <c r="P52" s="196"/>
      <c r="Q52" s="196"/>
      <c r="R52" s="28"/>
      <c r="S52" s="2"/>
      <c r="T52" s="2"/>
      <c r="U52" s="2"/>
      <c r="V52" s="2"/>
      <c r="W52" s="33">
        <v>27</v>
      </c>
      <c r="X52" s="69" t="s">
        <v>39</v>
      </c>
      <c r="Y52" s="70">
        <v>32</v>
      </c>
      <c r="Z52" s="70">
        <v>440</v>
      </c>
      <c r="AA52" s="70">
        <v>23</v>
      </c>
      <c r="AB52" s="70">
        <v>80</v>
      </c>
      <c r="AC52" s="109"/>
      <c r="AD52" s="4"/>
      <c r="AE52" s="81">
        <v>28</v>
      </c>
      <c r="AF52" s="81">
        <v>8</v>
      </c>
      <c r="AG52" s="81">
        <v>-6</v>
      </c>
      <c r="AH52" s="82">
        <v>-1.7424871230634E-10</v>
      </c>
      <c r="AI52" s="83"/>
      <c r="AJ52" s="94">
        <f t="shared" si="0"/>
        <v>4.178692716927848E-07</v>
      </c>
      <c r="AK52" s="94">
        <f t="shared" si="1"/>
        <v>4.178692716927848E-07</v>
      </c>
      <c r="AL52" s="94">
        <f t="shared" si="2"/>
        <v>4.178692716927848E-07</v>
      </c>
      <c r="AM52" s="94">
        <f t="shared" si="3"/>
        <v>4.178692716927848E-07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20.25" thickTop="1">
      <c r="B53" s="164"/>
      <c r="C53" s="137" t="s">
        <v>145</v>
      </c>
      <c r="D53" s="316" t="s">
        <v>208</v>
      </c>
      <c r="E53" s="139" t="s">
        <v>66</v>
      </c>
      <c r="F53" s="288">
        <f>$F$52*F34*F44^2/($F$36*2*9.81)+IF(F68="L",F69,0)</f>
        <v>0.00011808683463630172</v>
      </c>
      <c r="G53" s="288">
        <f>$G$52*G34*G44^2/($G$36*2*9.81)+IF(G68="L",G69,0)</f>
        <v>0.00047234733854520687</v>
      </c>
      <c r="H53" s="288">
        <f>$H$52*H34*H44^2/($H$36*2*9.81)+IF(H68="L",H69,0)</f>
        <v>0.0010627815117267155</v>
      </c>
      <c r="I53" s="288">
        <f>$I$52*I34*I44^2/($I$36*2*9.81)+IF(I68="L",I69,0)</f>
        <v>0.36275307570151094</v>
      </c>
      <c r="J53" s="167"/>
      <c r="K53" s="2"/>
      <c r="L53" s="155"/>
      <c r="M53" s="340"/>
      <c r="N53" s="339"/>
      <c r="O53" s="194"/>
      <c r="P53" s="194"/>
      <c r="Q53" s="203"/>
      <c r="R53" s="29"/>
      <c r="S53" s="3"/>
      <c r="T53" s="3"/>
      <c r="U53" s="3"/>
      <c r="V53" s="3"/>
      <c r="W53" s="33">
        <v>28</v>
      </c>
      <c r="X53" s="371" t="s">
        <v>228</v>
      </c>
      <c r="Y53" s="372">
        <v>40</v>
      </c>
      <c r="Z53" s="372">
        <v>448</v>
      </c>
      <c r="AA53" s="372">
        <v>41.11209043916693</v>
      </c>
      <c r="AB53" s="372">
        <v>100</v>
      </c>
      <c r="AC53" s="378" t="s">
        <v>117</v>
      </c>
      <c r="AD53" s="5"/>
      <c r="AE53" s="81">
        <v>29</v>
      </c>
      <c r="AF53" s="81">
        <v>21</v>
      </c>
      <c r="AG53" s="81">
        <v>-29</v>
      </c>
      <c r="AH53" s="82">
        <v>-6.8762131295531E-19</v>
      </c>
      <c r="AI53" s="83"/>
      <c r="AJ53" s="94">
        <f t="shared" si="0"/>
        <v>2.4557186050730786E-17</v>
      </c>
      <c r="AK53" s="94">
        <f t="shared" si="1"/>
        <v>2.4557186050730786E-17</v>
      </c>
      <c r="AL53" s="94">
        <f t="shared" si="2"/>
        <v>2.4557186050730786E-17</v>
      </c>
      <c r="AM53" s="94">
        <f t="shared" si="3"/>
        <v>2.4557186050730786E-17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">
      <c r="B54" s="164"/>
      <c r="C54" s="149" t="s">
        <v>69</v>
      </c>
      <c r="D54" s="324"/>
      <c r="E54" s="17"/>
      <c r="F54" s="292"/>
      <c r="G54" s="293"/>
      <c r="H54" s="293"/>
      <c r="I54" s="293"/>
      <c r="J54" s="166"/>
      <c r="L54" s="155"/>
      <c r="M54" s="341"/>
      <c r="N54" s="339"/>
      <c r="O54" s="194"/>
      <c r="P54" s="194"/>
      <c r="Q54" s="203"/>
      <c r="R54" s="29"/>
      <c r="S54" s="4"/>
      <c r="T54" s="4"/>
      <c r="U54" s="4"/>
      <c r="V54" s="4"/>
      <c r="W54" s="33">
        <v>29</v>
      </c>
      <c r="X54" s="373" t="s">
        <v>229</v>
      </c>
      <c r="Y54" s="368">
        <v>40</v>
      </c>
      <c r="Z54" s="368">
        <v>200</v>
      </c>
      <c r="AA54" s="368">
        <v>0</v>
      </c>
      <c r="AB54" s="368">
        <v>40</v>
      </c>
      <c r="AC54" s="376"/>
      <c r="AD54" s="5"/>
      <c r="AE54" s="81">
        <v>30</v>
      </c>
      <c r="AF54" s="81">
        <v>23</v>
      </c>
      <c r="AG54" s="81">
        <v>-31</v>
      </c>
      <c r="AH54" s="82">
        <v>1.4478307828521E-20</v>
      </c>
      <c r="AI54" s="83"/>
      <c r="AJ54" s="94">
        <f t="shared" si="0"/>
        <v>-1.975812308940391E-18</v>
      </c>
      <c r="AK54" s="94">
        <f t="shared" si="1"/>
        <v>-1.975812308940391E-18</v>
      </c>
      <c r="AL54" s="94">
        <f t="shared" si="2"/>
        <v>-1.975812308940391E-18</v>
      </c>
      <c r="AM54" s="94">
        <f t="shared" si="3"/>
        <v>-1.975812308940391E-18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64"/>
      <c r="C55" s="137" t="s">
        <v>86</v>
      </c>
      <c r="D55" s="301" t="s">
        <v>84</v>
      </c>
      <c r="E55" s="139"/>
      <c r="F55" s="294">
        <f>3.2*TAN(RADIANS($F$40/2))^1.25*(1-($F$36/F38)^2)^2</f>
        <v>0</v>
      </c>
      <c r="G55" s="295">
        <f>3.2*TAN(RADIANS($G$40/2))^1.25*(1-($G$36/G38)^2)^2</f>
        <v>0</v>
      </c>
      <c r="H55" s="295">
        <f>3.2*TAN(RADIANS($H$40/2))^1.25*(1-($H$36/H38)^2)^2</f>
        <v>0</v>
      </c>
      <c r="I55" s="295">
        <f>3.2*TAN(RADIANS($I$40/2))^1.25*(1-($I$36/I38)^2)^2</f>
        <v>0.009565711325463218</v>
      </c>
      <c r="J55" s="166"/>
      <c r="L55" s="155"/>
      <c r="M55" s="342"/>
      <c r="N55" s="339"/>
      <c r="O55" s="193"/>
      <c r="P55" s="193"/>
      <c r="Q55" s="203"/>
      <c r="R55" s="29"/>
      <c r="S55" s="4"/>
      <c r="T55" s="4"/>
      <c r="U55" s="4"/>
      <c r="V55" s="4"/>
      <c r="W55" s="33">
        <v>30</v>
      </c>
      <c r="X55" s="373" t="s">
        <v>230</v>
      </c>
      <c r="Y55" s="368">
        <v>40</v>
      </c>
      <c r="Z55" s="368">
        <v>448</v>
      </c>
      <c r="AA55" s="368">
        <v>9.527283381452355</v>
      </c>
      <c r="AB55" s="368">
        <v>50</v>
      </c>
      <c r="AC55" s="376"/>
      <c r="AD55" s="5"/>
      <c r="AE55" s="81">
        <v>31</v>
      </c>
      <c r="AF55" s="81">
        <v>29</v>
      </c>
      <c r="AG55" s="81">
        <v>-38</v>
      </c>
      <c r="AH55" s="82">
        <v>2.6335781662795E-23</v>
      </c>
      <c r="AI55" s="83"/>
      <c r="AJ55" s="94">
        <f t="shared" si="0"/>
        <v>-5.092708586643816E-20</v>
      </c>
      <c r="AK55" s="94">
        <f t="shared" si="1"/>
        <v>-5.092708586643816E-20</v>
      </c>
      <c r="AL55" s="94">
        <f t="shared" si="2"/>
        <v>-5.092708586643816E-20</v>
      </c>
      <c r="AM55" s="94">
        <f t="shared" si="3"/>
        <v>-5.092708586643816E-20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19.5">
      <c r="B56" s="164"/>
      <c r="C56" s="137" t="s">
        <v>92</v>
      </c>
      <c r="D56" s="301" t="s">
        <v>85</v>
      </c>
      <c r="E56" s="130"/>
      <c r="F56" s="286">
        <f>IF(F40=0,0,F52/(8*SIN(RADIANS(F40/2)))*(1-(F36/F38)^4))</f>
        <v>0</v>
      </c>
      <c r="G56" s="287">
        <f>IF(G40=0,0,G52/(8*SIN(RADIANS(G40/2)))*(1-(G36/G38)^4))</f>
        <v>0</v>
      </c>
      <c r="H56" s="287">
        <f>IF(H40=0,0,H52/(8*SIN(RADIANS(H40/2)))*(1-(H36/H38)^4))</f>
        <v>0</v>
      </c>
      <c r="I56" s="287">
        <f>IF(I40=0,0,I52/(8*SIN(RADIANS(I40/2)))*(1-(I36/I38)^4))</f>
        <v>0.07987374872010888</v>
      </c>
      <c r="J56" s="166"/>
      <c r="L56" s="155"/>
      <c r="M56" s="342"/>
      <c r="N56" s="339"/>
      <c r="O56" s="193"/>
      <c r="P56" s="193"/>
      <c r="Q56" s="203"/>
      <c r="R56" s="29"/>
      <c r="S56" s="5"/>
      <c r="T56" s="5"/>
      <c r="U56" s="5"/>
      <c r="V56" s="5"/>
      <c r="W56" s="33">
        <v>31</v>
      </c>
      <c r="X56" s="373" t="s">
        <v>231</v>
      </c>
      <c r="Y56" s="368">
        <v>40</v>
      </c>
      <c r="Z56" s="368">
        <v>448</v>
      </c>
      <c r="AA56" s="368">
        <v>20.249343310795634</v>
      </c>
      <c r="AB56" s="368">
        <v>65</v>
      </c>
      <c r="AC56" s="376"/>
      <c r="AD56" s="5"/>
      <c r="AE56" s="81">
        <v>32</v>
      </c>
      <c r="AF56" s="81">
        <v>30</v>
      </c>
      <c r="AG56" s="81">
        <v>-39</v>
      </c>
      <c r="AH56" s="82">
        <v>-1.1947622640071E-23</v>
      </c>
      <c r="AI56" s="83"/>
      <c r="AJ56" s="94">
        <f t="shared" si="0"/>
        <v>4.4642900227567373E-20</v>
      </c>
      <c r="AK56" s="94">
        <f t="shared" si="1"/>
        <v>4.4642900227567373E-20</v>
      </c>
      <c r="AL56" s="94">
        <f t="shared" si="2"/>
        <v>4.4642900227567373E-20</v>
      </c>
      <c r="AM56" s="94">
        <f t="shared" si="3"/>
        <v>4.4642900227567373E-20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20.25" thickBot="1">
      <c r="B57" s="164"/>
      <c r="C57" s="150" t="s">
        <v>70</v>
      </c>
      <c r="D57" s="300" t="s">
        <v>122</v>
      </c>
      <c r="E57" s="151" t="s">
        <v>66</v>
      </c>
      <c r="F57" s="288">
        <f>(F55+$F$56)*F44^2/(2*9.81)</f>
        <v>0</v>
      </c>
      <c r="G57" s="289">
        <f>(G55+$G$56)*G44^2/(2*9.81)</f>
        <v>0</v>
      </c>
      <c r="H57" s="289">
        <f>(H55+$H$56)*H44^2/(2*9.81)</f>
        <v>0</v>
      </c>
      <c r="I57" s="289">
        <f>(I55+$I$56)*I44^2/(2*9.81)</f>
        <v>0.05699220748247993</v>
      </c>
      <c r="J57" s="170"/>
      <c r="K57" s="6"/>
      <c r="L57" s="155"/>
      <c r="M57" s="342"/>
      <c r="N57" s="339"/>
      <c r="O57" s="193"/>
      <c r="P57" s="193"/>
      <c r="Q57" s="203"/>
      <c r="R57" s="30"/>
      <c r="S57" s="5"/>
      <c r="T57" s="5"/>
      <c r="U57" s="5"/>
      <c r="V57" s="5"/>
      <c r="W57" s="33">
        <v>32</v>
      </c>
      <c r="X57" s="374" t="s">
        <v>232</v>
      </c>
      <c r="Y57" s="375">
        <v>40</v>
      </c>
      <c r="Z57" s="375">
        <v>448</v>
      </c>
      <c r="AA57" s="375">
        <v>29.8628343562751</v>
      </c>
      <c r="AB57" s="375">
        <v>80</v>
      </c>
      <c r="AC57" s="377"/>
      <c r="AD57" s="6"/>
      <c r="AE57" s="81">
        <v>33</v>
      </c>
      <c r="AF57" s="81">
        <v>31</v>
      </c>
      <c r="AG57" s="81">
        <v>-40</v>
      </c>
      <c r="AH57" s="82">
        <v>1.8228094581404E-24</v>
      </c>
      <c r="AI57" s="83"/>
      <c r="AJ57" s="94">
        <f t="shared" si="0"/>
        <v>-1.3146121751351471E-20</v>
      </c>
      <c r="AK57" s="94">
        <f t="shared" si="1"/>
        <v>-1.3146121751351471E-20</v>
      </c>
      <c r="AL57" s="94">
        <f t="shared" si="2"/>
        <v>-1.3146121751351471E-20</v>
      </c>
      <c r="AM57" s="94">
        <f t="shared" si="3"/>
        <v>-1.3146121751351471E-20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7.25" thickBot="1" thickTop="1">
      <c r="B58" s="164"/>
      <c r="C58" s="259" t="s">
        <v>71</v>
      </c>
      <c r="D58" s="45"/>
      <c r="E58" s="18" t="s">
        <v>72</v>
      </c>
      <c r="F58" s="288">
        <f>F57+F53+F50</f>
        <v>0.00011808683463630172</v>
      </c>
      <c r="G58" s="288">
        <f>G57+G53+G50</f>
        <v>0.00047234733854520687</v>
      </c>
      <c r="H58" s="289">
        <f>H57+H53+H50</f>
        <v>0.0010627815117267155</v>
      </c>
      <c r="I58" s="289">
        <f>I57+I53+I50</f>
        <v>0.4706420714376368</v>
      </c>
      <c r="J58" s="166"/>
      <c r="L58" s="155"/>
      <c r="M58" s="192"/>
      <c r="N58" s="192"/>
      <c r="O58" s="193"/>
      <c r="P58" s="193"/>
      <c r="Q58" s="193"/>
      <c r="R58" s="29"/>
      <c r="S58" s="5"/>
      <c r="T58" s="5"/>
      <c r="U58" s="5"/>
      <c r="V58" s="5"/>
      <c r="W58" s="33">
        <v>33</v>
      </c>
      <c r="X58" s="369" t="s">
        <v>50</v>
      </c>
      <c r="Y58" s="370">
        <v>50</v>
      </c>
      <c r="Z58" s="370">
        <v>200</v>
      </c>
      <c r="AA58" s="370">
        <v>0</v>
      </c>
      <c r="AB58" s="370">
        <v>50</v>
      </c>
      <c r="AC58" s="338" t="s">
        <v>214</v>
      </c>
      <c r="AD58" s="5"/>
      <c r="AE58" s="81">
        <v>34</v>
      </c>
      <c r="AF58" s="81">
        <v>32</v>
      </c>
      <c r="AG58" s="81">
        <v>-41</v>
      </c>
      <c r="AH58" s="82">
        <v>-9.3537087292458E-26</v>
      </c>
      <c r="AI58" s="83"/>
      <c r="AJ58" s="94">
        <f t="shared" si="0"/>
        <v>1.300689209283585E-21</v>
      </c>
      <c r="AK58" s="94">
        <f t="shared" si="1"/>
        <v>1.300689209283585E-21</v>
      </c>
      <c r="AL58" s="94">
        <f t="shared" si="2"/>
        <v>1.300689209283585E-21</v>
      </c>
      <c r="AM58" s="94">
        <f t="shared" si="3"/>
        <v>1.300689209283585E-21</v>
      </c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64"/>
      <c r="C59" s="48"/>
      <c r="D59" s="47"/>
      <c r="E59" s="18" t="s">
        <v>14</v>
      </c>
      <c r="F59" s="296">
        <f>F58/10</f>
        <v>1.1808683463630171E-05</v>
      </c>
      <c r="G59" s="296">
        <f>G58/10</f>
        <v>4.7234733854520685E-05</v>
      </c>
      <c r="H59" s="297">
        <f>H58/10</f>
        <v>0.00010627815117267155</v>
      </c>
      <c r="I59" s="297">
        <f>I58/10</f>
        <v>0.04706420714376368</v>
      </c>
      <c r="J59" s="166"/>
      <c r="L59" s="155"/>
      <c r="M59" s="192"/>
      <c r="N59" s="192"/>
      <c r="O59" s="197"/>
      <c r="P59" s="197"/>
      <c r="Q59" s="197"/>
      <c r="R59" s="29"/>
      <c r="S59" s="5"/>
      <c r="T59" s="5"/>
      <c r="U59" s="5"/>
      <c r="V59" s="5"/>
      <c r="W59" s="33">
        <v>34</v>
      </c>
      <c r="X59" s="71" t="s">
        <v>53</v>
      </c>
      <c r="Y59" s="72">
        <v>50</v>
      </c>
      <c r="Z59" s="72">
        <v>448</v>
      </c>
      <c r="AA59" s="72">
        <v>12.231007132570813</v>
      </c>
      <c r="AB59" s="72">
        <v>65</v>
      </c>
      <c r="AC59" s="110"/>
      <c r="AD59" s="5"/>
      <c r="AE59" s="83"/>
      <c r="AF59" s="83"/>
      <c r="AG59" s="84" t="s">
        <v>105</v>
      </c>
      <c r="AH59">
        <v>0.461526</v>
      </c>
      <c r="AI59" s="83"/>
      <c r="AJ59" s="86">
        <f>SUM(AJ33:AJ58)</f>
        <v>0.12919533649736503</v>
      </c>
      <c r="AK59" s="86">
        <f>SUM(AK33:AK58)</f>
        <v>0.12919533649736503</v>
      </c>
      <c r="AL59" s="86">
        <f>SUM(AL33:AL58)</f>
        <v>0.12919533649736503</v>
      </c>
      <c r="AM59" s="86">
        <f>SUM(AM33:AM58)</f>
        <v>0.12919533649736503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64"/>
      <c r="C60" s="48"/>
      <c r="D60" s="48"/>
      <c r="E60" s="48"/>
      <c r="F60" s="48"/>
      <c r="G60" s="48"/>
      <c r="H60" s="48"/>
      <c r="I60" s="48"/>
      <c r="J60" s="166"/>
      <c r="N60" s="192"/>
      <c r="O60" s="193"/>
      <c r="P60" s="193"/>
      <c r="Q60" s="193"/>
      <c r="R60" s="29"/>
      <c r="S60" s="6"/>
      <c r="T60" s="6"/>
      <c r="U60" s="6"/>
      <c r="V60" s="6"/>
      <c r="W60" s="33">
        <v>35</v>
      </c>
      <c r="X60" s="71" t="s">
        <v>56</v>
      </c>
      <c r="Y60" s="72">
        <v>50</v>
      </c>
      <c r="Z60" s="72">
        <v>448</v>
      </c>
      <c r="AA60" s="72">
        <v>22.619864948040426</v>
      </c>
      <c r="AB60" s="72">
        <v>80</v>
      </c>
      <c r="AC60" s="110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64"/>
      <c r="C61" s="48"/>
      <c r="D61" s="48"/>
      <c r="E61" s="48"/>
      <c r="F61" s="48"/>
      <c r="G61" s="48"/>
      <c r="H61" s="48"/>
      <c r="I61" s="48"/>
      <c r="J61" s="166"/>
      <c r="L61" s="46"/>
      <c r="M61" s="192"/>
      <c r="N61" s="192"/>
      <c r="O61" s="193"/>
      <c r="P61" s="193"/>
      <c r="Q61" s="193"/>
      <c r="R61" s="29"/>
      <c r="S61" s="5"/>
      <c r="T61" s="5"/>
      <c r="U61" s="5"/>
      <c r="V61" s="5"/>
      <c r="W61" s="33">
        <v>36</v>
      </c>
      <c r="X61" s="71" t="s">
        <v>43</v>
      </c>
      <c r="Y61" s="72">
        <v>50</v>
      </c>
      <c r="Z61" s="72">
        <v>448</v>
      </c>
      <c r="AA61" s="72">
        <v>34.70804927252265</v>
      </c>
      <c r="AB61" s="72">
        <v>100</v>
      </c>
      <c r="AC61" s="110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">
      <c r="B62" s="164"/>
      <c r="C62" s="90" t="s">
        <v>77</v>
      </c>
      <c r="D62" s="38"/>
      <c r="E62" s="38"/>
      <c r="F62" s="38"/>
      <c r="G62" s="38"/>
      <c r="H62" s="38"/>
      <c r="I62" s="38"/>
      <c r="J62" s="166"/>
      <c r="L62" s="5"/>
      <c r="M62" s="190"/>
      <c r="N62" s="190"/>
      <c r="O62" s="193"/>
      <c r="P62" s="193"/>
      <c r="Q62" s="193"/>
      <c r="R62" s="5"/>
      <c r="S62" s="5"/>
      <c r="T62" s="5"/>
      <c r="U62" s="5"/>
      <c r="V62" s="5"/>
      <c r="W62" s="33">
        <v>37</v>
      </c>
      <c r="X62" s="71" t="s">
        <v>47</v>
      </c>
      <c r="Y62" s="72">
        <v>50</v>
      </c>
      <c r="Z62" s="72">
        <v>448</v>
      </c>
      <c r="AA62" s="72">
        <v>41.11209043916693</v>
      </c>
      <c r="AB62" s="72">
        <v>125</v>
      </c>
      <c r="AC62" s="110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">
      <c r="B63" s="171"/>
      <c r="C63" s="405" t="s">
        <v>79</v>
      </c>
      <c r="D63" s="405"/>
      <c r="E63" s="405"/>
      <c r="F63" s="405"/>
      <c r="G63" s="405"/>
      <c r="H63" s="405"/>
      <c r="I63" s="405"/>
      <c r="J63" s="172"/>
      <c r="K63" s="39"/>
      <c r="L63" s="40"/>
      <c r="M63" s="198"/>
      <c r="N63" s="198"/>
      <c r="O63" s="193"/>
      <c r="P63" s="193"/>
      <c r="Q63" s="193"/>
      <c r="S63" s="5"/>
      <c r="T63" s="5"/>
      <c r="U63" s="5"/>
      <c r="V63" s="5"/>
      <c r="W63" s="33">
        <v>38</v>
      </c>
      <c r="X63" s="336" t="s">
        <v>211</v>
      </c>
      <c r="Y63" s="337">
        <v>50</v>
      </c>
      <c r="Z63" s="337"/>
      <c r="AA63" s="337">
        <v>67.38013505195957</v>
      </c>
      <c r="AB63" s="337">
        <v>150</v>
      </c>
      <c r="AC63" s="110"/>
    </row>
    <row r="64" spans="2:29" s="20" customFormat="1" ht="15" customHeight="1" thickBot="1">
      <c r="B64" s="173"/>
      <c r="C64" s="91" t="s">
        <v>0</v>
      </c>
      <c r="D64" s="42"/>
      <c r="E64" s="42"/>
      <c r="F64" s="42"/>
      <c r="G64" s="42"/>
      <c r="H64" s="42"/>
      <c r="I64" s="42"/>
      <c r="J64" s="174"/>
      <c r="K64" s="50"/>
      <c r="L64" s="50"/>
      <c r="M64" s="193"/>
      <c r="N64" s="194"/>
      <c r="O64" s="194"/>
      <c r="P64" s="193"/>
      <c r="Q64" s="193"/>
      <c r="S64" s="5"/>
      <c r="T64" s="5"/>
      <c r="U64" s="5"/>
      <c r="V64" s="5"/>
      <c r="W64" s="33">
        <v>39</v>
      </c>
      <c r="X64" s="366" t="s">
        <v>213</v>
      </c>
      <c r="Y64" s="367">
        <v>50</v>
      </c>
      <c r="Z64" s="367"/>
      <c r="AA64" s="367">
        <v>76.58032638448613</v>
      </c>
      <c r="AB64" s="367">
        <v>200</v>
      </c>
      <c r="AC64" s="110"/>
    </row>
    <row r="65" spans="2:29" s="20" customFormat="1" ht="16.5" customHeight="1" thickTop="1">
      <c r="B65" s="173"/>
      <c r="C65" s="175"/>
      <c r="D65" s="175"/>
      <c r="E65" s="175"/>
      <c r="F65" s="175"/>
      <c r="G65" s="175"/>
      <c r="H65" s="175"/>
      <c r="I65" s="175"/>
      <c r="J65" s="176"/>
      <c r="K65" s="42"/>
      <c r="L65" s="42"/>
      <c r="M65" s="40"/>
      <c r="N65" s="19"/>
      <c r="O65" s="19"/>
      <c r="P65" s="19"/>
      <c r="Q65" s="19"/>
      <c r="S65" s="5"/>
      <c r="T65" s="5"/>
      <c r="U65" s="5"/>
      <c r="V65" s="5"/>
      <c r="W65" s="33">
        <v>40</v>
      </c>
      <c r="X65" s="364" t="s">
        <v>233</v>
      </c>
      <c r="Y65" s="365">
        <v>65</v>
      </c>
      <c r="Z65" s="365">
        <v>480</v>
      </c>
      <c r="AA65" s="365">
        <v>24.67817455665239</v>
      </c>
      <c r="AB65" s="365">
        <v>100</v>
      </c>
      <c r="AC65" s="379">
        <v>5</v>
      </c>
    </row>
    <row r="66" spans="2:29" s="13" customFormat="1" ht="15" customHeight="1">
      <c r="B66" s="164"/>
      <c r="C66" s="5"/>
      <c r="D66" s="5"/>
      <c r="E66" s="5"/>
      <c r="F66" s="2"/>
      <c r="G66" s="2"/>
      <c r="H66" s="2"/>
      <c r="I66" s="2"/>
      <c r="J66" s="167"/>
      <c r="K66" s="34"/>
      <c r="M66" s="50"/>
      <c r="N66" s="41"/>
      <c r="O66" s="41"/>
      <c r="P66" s="20"/>
      <c r="Q66" s="20"/>
      <c r="S66" s="19"/>
      <c r="T66" s="19"/>
      <c r="U66" s="19"/>
      <c r="V66" s="19"/>
      <c r="W66" s="33">
        <v>41</v>
      </c>
      <c r="X66" s="363" t="s">
        <v>234</v>
      </c>
      <c r="Y66" s="362">
        <v>65</v>
      </c>
      <c r="Z66" s="362">
        <v>480</v>
      </c>
      <c r="AA66" s="362">
        <v>33.39848846798724</v>
      </c>
      <c r="AB66" s="362">
        <v>125</v>
      </c>
      <c r="AC66" s="380"/>
    </row>
    <row r="67" spans="2:29" s="13" customFormat="1" ht="15.75" thickBot="1">
      <c r="B67" s="179"/>
      <c r="C67" s="180"/>
      <c r="D67" s="180"/>
      <c r="E67" s="180"/>
      <c r="F67" s="181"/>
      <c r="G67" s="181"/>
      <c r="H67" s="181"/>
      <c r="I67" s="181"/>
      <c r="J67" s="182"/>
      <c r="K67" s="114"/>
      <c r="M67" s="42"/>
      <c r="N67" s="20"/>
      <c r="O67" s="20"/>
      <c r="P67" s="20"/>
      <c r="Q67" s="20"/>
      <c r="S67" s="20"/>
      <c r="T67" s="20"/>
      <c r="U67" s="20"/>
      <c r="V67" s="20"/>
      <c r="W67" s="33">
        <v>42</v>
      </c>
      <c r="X67" s="363" t="s">
        <v>235</v>
      </c>
      <c r="Y67" s="362">
        <v>65</v>
      </c>
      <c r="Z67" s="362">
        <v>480</v>
      </c>
      <c r="AA67" s="362">
        <v>59.077564519116194</v>
      </c>
      <c r="AB67" s="362">
        <v>150</v>
      </c>
      <c r="AC67" s="380"/>
    </row>
    <row r="68" spans="1:95" ht="15" hidden="1">
      <c r="A68" s="48"/>
      <c r="B68" s="48"/>
      <c r="C68" s="175"/>
      <c r="D68" s="175"/>
      <c r="E68" s="175"/>
      <c r="F68" s="98" t="str">
        <f>VLOOKUP(F30,DyPFlow,3,FALSE)</f>
        <v>S</v>
      </c>
      <c r="G68" s="98" t="str">
        <f>VLOOKUP(G30,DyPFlow,3,FALSE)</f>
        <v>S</v>
      </c>
      <c r="H68" s="98" t="str">
        <f>VLOOKUP(H30,DyPFlow,3,FALSE)</f>
        <v>S</v>
      </c>
      <c r="I68" s="98" t="str">
        <f>VLOOKUP(I30,DyPFlow,3,FALSE)</f>
        <v>L</v>
      </c>
      <c r="J68" s="7"/>
      <c r="K68" s="7"/>
      <c r="L68" s="7"/>
      <c r="M68" s="13"/>
      <c r="N68" s="13"/>
      <c r="O68" s="13"/>
      <c r="P68" s="13"/>
      <c r="Q68" s="13"/>
      <c r="R68" s="7"/>
      <c r="S68" s="20"/>
      <c r="T68" s="20"/>
      <c r="U68" s="20"/>
      <c r="V68" s="20"/>
      <c r="W68" s="33">
        <v>43</v>
      </c>
      <c r="X68" s="363" t="s">
        <v>236</v>
      </c>
      <c r="Y68" s="362">
        <v>65</v>
      </c>
      <c r="Z68" s="362">
        <v>200</v>
      </c>
      <c r="AA68" s="362">
        <v>0</v>
      </c>
      <c r="AB68" s="362">
        <v>65</v>
      </c>
      <c r="AC68" s="380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2.75" hidden="1">
      <c r="A69" s="48"/>
      <c r="B69" s="48"/>
      <c r="C69" s="48"/>
      <c r="D69" s="48"/>
      <c r="E69" s="48"/>
      <c r="F69" s="177">
        <f ca="1">OFFSET(InterpolCoeff,MATCH(F36,InterpolCoeff,0)-1,1,1,1)+OFFSET(InterpolCoeff,MATCH(F36,InterpolCoeff,0)-1,2,1,1)*F44+OFFSET(InterpolCoeff,MATCH(F36,InterpolCoeff,0)-1,3,1,1)*F44^2+OFFSET(InterpolCoeff,MATCH(F36,InterpolCoeff,0)-1,4,1,1)*F44^3</f>
        <v>0.00013133491399613923</v>
      </c>
      <c r="G69" s="177">
        <f ca="1">OFFSET(InterpolCoeff,MATCH(G36,InterpolCoeff,0)-1,1,1,1)+OFFSET(InterpolCoeff,MATCH(G36,InterpolCoeff,0)-1,2,1,1)*G44+OFFSET(InterpolCoeff,MATCH(G36,InterpolCoeff,0)-1,3,1,1)*G44^2+OFFSET(InterpolCoeff,MATCH(G36,InterpolCoeff,0)-1,4,1,1)*G44^3</f>
        <v>0.00038142689334211304</v>
      </c>
      <c r="H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0.0006873916333820937</v>
      </c>
      <c r="I69" s="177">
        <f ca="1">OFFSET(InterpolCoeff,MATCH(I36,InterpolCoeff,0)-1,1,1,1)+OFFSET(InterpolCoeff,MATCH(I36,InterpolCoeff,0)-1,2,1,1)*I44+OFFSET(InterpolCoeff,MATCH(I36,InterpolCoeff,0)-1,3,1,1)*I44^2+OFFSET(InterpolCoeff,MATCH(I36,InterpolCoeff,0)-1,4,1,1)*I44^3</f>
        <v>0.10444134941375458</v>
      </c>
      <c r="J69" s="7"/>
      <c r="K69" s="7"/>
      <c r="L69" s="7"/>
      <c r="M69" s="13"/>
      <c r="N69" s="13"/>
      <c r="O69" s="13"/>
      <c r="P69" s="13"/>
      <c r="Q69" s="13"/>
      <c r="R69" s="7"/>
      <c r="S69" s="13"/>
      <c r="T69" s="13"/>
      <c r="U69" s="13"/>
      <c r="V69" s="13"/>
      <c r="W69" s="33">
        <v>44</v>
      </c>
      <c r="X69" s="363" t="s">
        <v>237</v>
      </c>
      <c r="Y69" s="362">
        <v>65</v>
      </c>
      <c r="Z69" s="362">
        <v>480</v>
      </c>
      <c r="AA69" s="362">
        <v>11.421186274999286</v>
      </c>
      <c r="AB69" s="362">
        <v>80</v>
      </c>
      <c r="AC69" s="365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3.5" hidden="1" thickTop="1">
      <c r="A70" s="48"/>
      <c r="B70" s="48"/>
      <c r="C70" s="178"/>
      <c r="D70" s="5"/>
      <c r="E70" s="5"/>
      <c r="F70" s="12"/>
      <c r="G70" s="12"/>
      <c r="H70" s="12"/>
      <c r="I70" s="12"/>
      <c r="J70" s="2"/>
      <c r="K70" s="2"/>
      <c r="L70" s="5"/>
      <c r="M70" s="7"/>
      <c r="N70" s="5"/>
      <c r="O70" s="5"/>
      <c r="P70" s="7"/>
      <c r="Q70" s="7"/>
      <c r="R70" s="5"/>
      <c r="S70" s="13"/>
      <c r="T70" s="13"/>
      <c r="U70" s="13"/>
      <c r="V70" s="13"/>
      <c r="W70" s="33">
        <v>45</v>
      </c>
      <c r="X70" s="73" t="s">
        <v>59</v>
      </c>
      <c r="Y70" s="74">
        <v>80</v>
      </c>
      <c r="Z70" s="74">
        <v>570</v>
      </c>
      <c r="AA70" s="74">
        <v>14.250032697803595</v>
      </c>
      <c r="AB70" s="74">
        <v>100</v>
      </c>
      <c r="AC70" s="111" t="s">
        <v>117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0.00000178/(1+0.0337*$F$28+0.000221*$F$28^2)</f>
        <v>1.5636859415849098E-06</v>
      </c>
      <c r="G71" s="153">
        <f>0.00000178/(1+0.0337*$G$28+0.000221*$G$28^2)</f>
        <v>1.5636859415849098E-06</v>
      </c>
      <c r="H71" s="153">
        <f>0.00000178/(1+0.0337*$H$28+0.000221*$H$28^2)</f>
        <v>1.5636859415849098E-06</v>
      </c>
      <c r="I71" s="153">
        <f>0.00000178/(1+0.0337*$I$28+0.000221*$I$28^2)</f>
        <v>1.5636859415849098E-06</v>
      </c>
      <c r="J71" s="2"/>
      <c r="K71" s="2"/>
      <c r="L71" s="8"/>
      <c r="M71" s="7"/>
      <c r="N71" s="5"/>
      <c r="O71" s="5"/>
      <c r="P71" s="7"/>
      <c r="Q71" s="7"/>
      <c r="R71" s="8"/>
      <c r="S71" s="7"/>
      <c r="T71" s="7"/>
      <c r="U71" s="7"/>
      <c r="V71" s="7"/>
      <c r="W71" s="33">
        <v>46</v>
      </c>
      <c r="X71" s="75" t="s">
        <v>60</v>
      </c>
      <c r="Y71" s="76">
        <v>80</v>
      </c>
      <c r="Z71" s="76">
        <v>570</v>
      </c>
      <c r="AA71" s="76">
        <v>25.117673881895147</v>
      </c>
      <c r="AB71" s="76">
        <v>125</v>
      </c>
      <c r="AC71" s="111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8"/>
      <c r="B72" s="48"/>
      <c r="C72" s="152" t="s">
        <v>57</v>
      </c>
      <c r="D72" s="138" t="s">
        <v>58</v>
      </c>
      <c r="E72" s="138"/>
      <c r="F72" s="154">
        <f>F44*$F$36/$F$71/1000</f>
        <v>4522.4431962070375</v>
      </c>
      <c r="G72" s="154">
        <f>G44*$G$36/$G$71/1000</f>
        <v>9044.886392414075</v>
      </c>
      <c r="H72" s="154">
        <f>H44*$H$36/$H$71/1000</f>
        <v>13567.32958862111</v>
      </c>
      <c r="I72" s="154">
        <f>I44*$I$36/$I$71/1000</f>
        <v>45224.43196207037</v>
      </c>
      <c r="J72" s="104"/>
      <c r="K72" s="104"/>
      <c r="L72" s="9"/>
      <c r="M72" s="5"/>
      <c r="N72" s="5"/>
      <c r="O72" s="5"/>
      <c r="P72" s="5"/>
      <c r="Q72" s="5"/>
      <c r="R72" s="9"/>
      <c r="S72" s="7"/>
      <c r="T72" s="7"/>
      <c r="U72" s="7"/>
      <c r="V72" s="7"/>
      <c r="W72" s="33">
        <v>47</v>
      </c>
      <c r="X72" s="75" t="s">
        <v>62</v>
      </c>
      <c r="Y72" s="76">
        <v>80</v>
      </c>
      <c r="Z72" s="76">
        <v>570</v>
      </c>
      <c r="AA72" s="76">
        <v>30.136976318984416</v>
      </c>
      <c r="AB72" s="76">
        <v>150</v>
      </c>
      <c r="AC72" s="111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2.75" hidden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112"/>
      <c r="L73" s="5"/>
      <c r="M73" s="8"/>
      <c r="N73" s="8"/>
      <c r="O73" s="5"/>
      <c r="P73" s="5"/>
      <c r="Q73" s="8"/>
      <c r="R73" s="5"/>
      <c r="W73" s="33">
        <v>48</v>
      </c>
      <c r="X73" s="75" t="s">
        <v>64</v>
      </c>
      <c r="Y73" s="76">
        <v>80</v>
      </c>
      <c r="Z73" s="76">
        <v>800</v>
      </c>
      <c r="AA73" s="76">
        <v>64.55128862915527</v>
      </c>
      <c r="AB73" s="76">
        <v>200</v>
      </c>
      <c r="AC73" s="111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3.5" hidden="1" thickBot="1">
      <c r="A74" s="48"/>
      <c r="B74" s="48"/>
      <c r="C74" s="5"/>
      <c r="D74" s="5"/>
      <c r="E74" s="44"/>
      <c r="F74" s="96"/>
      <c r="G74" s="8"/>
      <c r="H74" s="5"/>
      <c r="I74" s="112"/>
      <c r="J74" s="105"/>
      <c r="K74" s="105"/>
      <c r="L74" s="10"/>
      <c r="M74" s="9"/>
      <c r="N74" s="9"/>
      <c r="O74" s="6"/>
      <c r="P74" s="6"/>
      <c r="Q74" s="9"/>
      <c r="R74" s="10"/>
      <c r="W74" s="33">
        <v>49</v>
      </c>
      <c r="X74" s="77" t="s">
        <v>67</v>
      </c>
      <c r="Y74" s="78">
        <v>80</v>
      </c>
      <c r="Z74" s="78">
        <v>200</v>
      </c>
      <c r="AA74" s="78">
        <v>0</v>
      </c>
      <c r="AB74" s="78">
        <v>80</v>
      </c>
      <c r="AC74" s="111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2.75" hidden="1">
      <c r="A75" s="48"/>
      <c r="B75" s="48"/>
      <c r="C75" s="5"/>
      <c r="D75" s="5"/>
      <c r="E75" s="44"/>
      <c r="F75" s="192"/>
      <c r="G75" s="192"/>
      <c r="H75" s="192"/>
      <c r="I75" s="192"/>
      <c r="J75" s="112"/>
      <c r="K75" s="112"/>
      <c r="L75" s="5"/>
      <c r="M75" s="5"/>
      <c r="N75" s="5"/>
      <c r="O75" s="5"/>
      <c r="P75" s="5"/>
      <c r="Q75" s="5"/>
      <c r="R75" s="5"/>
      <c r="W75" s="33"/>
      <c r="Y75" s="1" t="s">
        <v>73</v>
      </c>
      <c r="Z75" s="1" t="s">
        <v>223</v>
      </c>
      <c r="AB75" s="1" t="s">
        <v>74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2.75">
      <c r="A76" s="48"/>
      <c r="B76" s="48"/>
      <c r="C76" s="5"/>
      <c r="D76" s="5"/>
      <c r="E76" s="5"/>
      <c r="F76" s="48"/>
      <c r="G76" s="48"/>
      <c r="H76" s="48"/>
      <c r="I76" s="48"/>
      <c r="J76" s="115"/>
      <c r="K76" s="115"/>
      <c r="L76" s="11"/>
      <c r="M76" s="10"/>
      <c r="N76" s="10"/>
      <c r="O76" s="10"/>
      <c r="P76" s="5"/>
      <c r="Q76" s="5"/>
      <c r="R76" s="11"/>
      <c r="W76" s="33"/>
      <c r="Y76" s="1">
        <v>20</v>
      </c>
      <c r="Z76" s="1">
        <v>51</v>
      </c>
      <c r="AB76" s="1">
        <v>25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8"/>
      <c r="B77" s="48"/>
      <c r="C77" s="5"/>
      <c r="D77" s="5"/>
      <c r="E77" s="5"/>
      <c r="F77" s="192"/>
      <c r="G77" s="192"/>
      <c r="H77" s="192"/>
      <c r="I77" s="192"/>
      <c r="J77" s="112"/>
      <c r="K77" s="112"/>
      <c r="L77" s="5"/>
      <c r="M77" s="5"/>
      <c r="N77" s="5"/>
      <c r="O77" s="5"/>
      <c r="P77" s="5"/>
      <c r="Q77" s="5"/>
      <c r="R77" s="5"/>
      <c r="S77" s="10"/>
      <c r="T77" s="10"/>
      <c r="U77" s="10"/>
      <c r="V77" s="10"/>
      <c r="W77" s="33"/>
      <c r="AA77" s="155">
        <f>ATAN((AB76-Y76)/(2*Z76))*180/PI()*2</f>
        <v>5.6127405035765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8"/>
      <c r="B78" s="48"/>
      <c r="C78" s="5"/>
      <c r="D78" s="5"/>
      <c r="E78" s="5"/>
      <c r="F78" s="2"/>
      <c r="G78" s="2"/>
      <c r="H78" s="2"/>
      <c r="I78" s="2"/>
      <c r="J78" s="188"/>
      <c r="K78" s="188"/>
      <c r="L78" s="12"/>
      <c r="M78" s="11"/>
      <c r="N78" s="11"/>
      <c r="O78" s="11"/>
      <c r="P78" s="5"/>
      <c r="Q78" s="5"/>
      <c r="R78" s="12"/>
      <c r="S78" s="5"/>
      <c r="T78" s="5"/>
      <c r="U78" s="5"/>
      <c r="V78" s="5"/>
      <c r="AA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2.75">
      <c r="A79" s="48"/>
      <c r="B79" s="48"/>
      <c r="C79" s="5"/>
      <c r="D79" s="5"/>
      <c r="E79" s="5"/>
      <c r="F79" s="2"/>
      <c r="G79" s="2"/>
      <c r="H79" s="2"/>
      <c r="I79" s="2"/>
      <c r="J79" s="188"/>
      <c r="K79" s="188"/>
      <c r="L79" s="12"/>
      <c r="M79" s="5"/>
      <c r="N79" s="5"/>
      <c r="O79" s="5"/>
      <c r="P79" s="7"/>
      <c r="Q79" s="7"/>
      <c r="R79" s="12"/>
      <c r="S79" s="11"/>
      <c r="T79" s="11"/>
      <c r="U79" s="11"/>
      <c r="V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2.75">
      <c r="A80" s="48"/>
      <c r="B80" s="48"/>
      <c r="C80" s="5"/>
      <c r="D80" s="5"/>
      <c r="E80" s="5"/>
      <c r="F80" s="2"/>
      <c r="G80" s="2"/>
      <c r="H80" s="2"/>
      <c r="I80" s="2"/>
      <c r="J80" s="188"/>
      <c r="K80" s="188"/>
      <c r="L80" s="12"/>
      <c r="M80" s="12"/>
      <c r="N80" s="12"/>
      <c r="O80" s="12"/>
      <c r="P80" s="7"/>
      <c r="Q80" s="7"/>
      <c r="R80" s="12"/>
      <c r="S80" s="5"/>
      <c r="T80" s="5"/>
      <c r="U80" s="5"/>
      <c r="V80" s="5"/>
      <c r="X80" s="345" t="s">
        <v>217</v>
      </c>
      <c r="Y80" s="345">
        <v>125</v>
      </c>
      <c r="Z80" s="345"/>
      <c r="AA80" s="345">
        <v>0</v>
      </c>
      <c r="AB80" s="345">
        <v>125</v>
      </c>
      <c r="AC80" s="34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5"/>
      <c r="Q81" s="5"/>
      <c r="R81" s="5"/>
      <c r="S81" s="12"/>
      <c r="T81" s="12"/>
      <c r="U81" s="12"/>
      <c r="V81" s="12"/>
      <c r="W81" s="10"/>
      <c r="X81" s="345" t="s">
        <v>218</v>
      </c>
      <c r="Y81" s="345">
        <v>125</v>
      </c>
      <c r="Z81" s="345"/>
      <c r="AA81" s="345">
        <v>10.984649114254877</v>
      </c>
      <c r="AB81" s="345">
        <v>150</v>
      </c>
      <c r="AC81" s="34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8"/>
      <c r="Q82" s="8"/>
      <c r="R82" s="5"/>
      <c r="S82" s="12"/>
      <c r="T82" s="12"/>
      <c r="U82" s="12"/>
      <c r="V82" s="12"/>
      <c r="W82" s="5"/>
      <c r="X82" s="345" t="s">
        <v>219</v>
      </c>
      <c r="Y82" s="345">
        <v>125</v>
      </c>
      <c r="Z82" s="345"/>
      <c r="AA82" s="345">
        <v>29.990158258351975</v>
      </c>
      <c r="AB82" s="345">
        <v>200</v>
      </c>
      <c r="AC82" s="34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2.75">
      <c r="A83" s="48"/>
      <c r="B83" s="48"/>
      <c r="C83" s="5"/>
      <c r="D83" s="5"/>
      <c r="E83" s="5"/>
      <c r="F83" s="2"/>
      <c r="G83" s="2"/>
      <c r="H83" s="2"/>
      <c r="I83" s="2"/>
      <c r="J83" s="188"/>
      <c r="K83" s="188"/>
      <c r="L83" s="12"/>
      <c r="M83" s="5"/>
      <c r="N83" s="5"/>
      <c r="O83" s="5"/>
      <c r="P83" s="9"/>
      <c r="Q83" s="9"/>
      <c r="R83" s="12"/>
      <c r="S83" s="12"/>
      <c r="T83" s="12"/>
      <c r="U83" s="12"/>
      <c r="V83" s="12"/>
      <c r="W83" s="11"/>
      <c r="X83" s="346" t="s">
        <v>220</v>
      </c>
      <c r="Y83" s="346">
        <v>125</v>
      </c>
      <c r="Z83" s="346"/>
      <c r="AA83" s="346">
        <v>48.11469890002347</v>
      </c>
      <c r="AB83" s="346">
        <v>250</v>
      </c>
      <c r="AC83" s="346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2.75">
      <c r="A84" s="48"/>
      <c r="B84" s="48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346" t="s">
        <v>221</v>
      </c>
      <c r="Y84" s="346">
        <v>125</v>
      </c>
      <c r="Z84" s="346"/>
      <c r="AA84" s="346">
        <v>64.01076641616699</v>
      </c>
      <c r="AB84" s="346">
        <v>300</v>
      </c>
      <c r="AC84" s="346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5">
      <c r="A85" s="48"/>
      <c r="B85" s="48"/>
      <c r="C85" s="5"/>
      <c r="D85" s="5"/>
      <c r="E85" s="5"/>
      <c r="F85" s="2"/>
      <c r="G85" s="2"/>
      <c r="H85" s="2"/>
      <c r="I85" s="2"/>
      <c r="J85" s="2"/>
      <c r="K85" s="2"/>
      <c r="L85" s="5"/>
      <c r="M85" s="12"/>
      <c r="N85" s="12"/>
      <c r="O85" s="12"/>
      <c r="P85" s="10"/>
      <c r="Q85" s="10"/>
      <c r="R85" s="5"/>
      <c r="S85" s="5"/>
      <c r="T85" s="5"/>
      <c r="U85" s="5"/>
      <c r="V85" s="5"/>
      <c r="W85" s="12"/>
      <c r="AC85" s="20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12"/>
      <c r="T86" s="12"/>
      <c r="U86" s="12"/>
      <c r="V86" s="12"/>
      <c r="W86" s="12"/>
      <c r="X86" s="7"/>
      <c r="Y86" s="7"/>
      <c r="Z86" s="7"/>
      <c r="AA86" s="7"/>
      <c r="AB86" s="7"/>
      <c r="AC86" s="13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1"/>
      <c r="Q87" s="11"/>
      <c r="R87" s="5"/>
      <c r="S87" s="5"/>
      <c r="T87" s="5"/>
      <c r="U87" s="5"/>
      <c r="V87" s="5"/>
      <c r="W87" s="12"/>
      <c r="X87" s="11"/>
      <c r="Y87" s="11"/>
      <c r="Z87" s="11"/>
      <c r="AA87" s="11"/>
      <c r="AB87" s="11"/>
      <c r="AC87" s="10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S90" s="5"/>
      <c r="T90" s="5"/>
      <c r="U90" s="5"/>
      <c r="V90" s="5"/>
      <c r="W90" s="12"/>
      <c r="X90" s="12"/>
      <c r="Y90" s="12"/>
      <c r="Z90" s="12"/>
      <c r="AA90" s="12"/>
      <c r="AB90" s="12"/>
      <c r="AC90" s="1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S91" s="5"/>
      <c r="T91" s="5"/>
      <c r="U91" s="5"/>
      <c r="V91" s="5"/>
      <c r="W91" s="5"/>
      <c r="X91" s="12"/>
      <c r="Y91" s="12"/>
      <c r="Z91" s="12"/>
      <c r="AA91" s="12"/>
      <c r="AB91" s="1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"/>
      <c r="Y92" s="12"/>
      <c r="Z92" s="12"/>
      <c r="AA92" s="12"/>
      <c r="AB92" s="12"/>
      <c r="AC92" s="12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2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12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2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2"/>
      <c r="Y95" s="12"/>
      <c r="Z95" s="12"/>
      <c r="AA95" s="12"/>
      <c r="AB95" s="1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12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33"/>
      <c r="G100" s="33"/>
      <c r="H100" s="33"/>
      <c r="I100" s="33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33"/>
      <c r="H101" s="33"/>
      <c r="I101" s="33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33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33"/>
      <c r="G102" s="33"/>
      <c r="H102" s="33"/>
      <c r="I102" s="33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33"/>
      <c r="G103" s="33"/>
      <c r="H103" s="33"/>
      <c r="I103" s="33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33"/>
      <c r="G104" s="33"/>
      <c r="H104" s="33"/>
      <c r="I104" s="33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33"/>
      <c r="G105" s="33"/>
      <c r="H105" s="33"/>
      <c r="I105" s="33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33"/>
      <c r="G106" s="33"/>
      <c r="H106" s="33"/>
      <c r="I106" s="33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33"/>
      <c r="G107" s="33"/>
      <c r="H107" s="33"/>
      <c r="I107" s="33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33"/>
      <c r="G108" s="33"/>
      <c r="H108" s="33"/>
      <c r="I108" s="33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33"/>
      <c r="G109" s="33"/>
      <c r="H109" s="33"/>
      <c r="I109" s="33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33"/>
      <c r="G110" s="33"/>
      <c r="H110" s="33"/>
      <c r="I110" s="33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33"/>
      <c r="G111" s="33"/>
      <c r="H111" s="33"/>
      <c r="I111" s="3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33"/>
      <c r="G112" s="33"/>
      <c r="H112" s="33"/>
      <c r="I112" s="3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33"/>
      <c r="G113" s="33"/>
      <c r="H113" s="33"/>
      <c r="I113" s="33"/>
      <c r="M113" s="5"/>
      <c r="N113" s="5"/>
      <c r="O113" s="5"/>
      <c r="P113" s="5"/>
      <c r="Q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6:29" ht="12.75">
      <c r="P115" s="5"/>
      <c r="Q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W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W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W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X122" s="5"/>
      <c r="Y122" s="5"/>
      <c r="Z122" s="5"/>
      <c r="AA122" s="5"/>
      <c r="AB122" s="5"/>
      <c r="AC122" s="5"/>
    </row>
    <row r="123" spans="16:29" ht="12.75">
      <c r="P123" s="5"/>
      <c r="Q123" s="5"/>
      <c r="X123" s="5"/>
      <c r="Y123" s="5"/>
      <c r="Z123" s="5"/>
      <c r="AA123" s="5"/>
      <c r="AB123" s="5"/>
      <c r="AC123" s="5"/>
    </row>
    <row r="124" spans="24:29" ht="12.75">
      <c r="X124" s="5"/>
      <c r="Y124" s="5"/>
      <c r="Z124" s="5"/>
      <c r="AA124" s="5"/>
      <c r="AB124" s="5"/>
      <c r="AC124" s="5"/>
    </row>
    <row r="125" ht="12.75">
      <c r="AC125" s="5"/>
    </row>
    <row r="126" ht="12.75">
      <c r="AC126" s="5"/>
    </row>
  </sheetData>
  <sheetProtection password="E09E" sheet="1" objects="1" scenarios="1"/>
  <mergeCells count="21">
    <mergeCell ref="C63:I63"/>
    <mergeCell ref="C47:I47"/>
    <mergeCell ref="M40:Q40"/>
    <mergeCell ref="M39:Q39"/>
    <mergeCell ref="D7:I7"/>
    <mergeCell ref="G17:H17"/>
    <mergeCell ref="G18:H18"/>
    <mergeCell ref="G19:H19"/>
    <mergeCell ref="C41:I41"/>
    <mergeCell ref="C35:I35"/>
    <mergeCell ref="C24:I24"/>
    <mergeCell ref="G22:H22"/>
    <mergeCell ref="G23:H23"/>
    <mergeCell ref="G14:I14"/>
    <mergeCell ref="G15:H15"/>
    <mergeCell ref="G16:H16"/>
    <mergeCell ref="C3:I3"/>
    <mergeCell ref="D5:I5"/>
    <mergeCell ref="D6:I6"/>
    <mergeCell ref="G20:H20"/>
    <mergeCell ref="G21:H21"/>
  </mergeCells>
  <conditionalFormatting sqref="F44:I44">
    <cfRule type="cellIs" priority="2" dxfId="1" operator="greaterThanOrEqual" stopIfTrue="1">
      <formula>10</formula>
    </cfRule>
  </conditionalFormatting>
  <conditionalFormatting sqref="F45:I46">
    <cfRule type="cellIs" priority="1" dxfId="0" operator="greaterThanOrEqual" stopIfTrue="1">
      <formula>3</formula>
    </cfRule>
  </conditionalFormatting>
  <dataValidations count="3">
    <dataValidation type="list" allowBlank="1" showInputMessage="1" showErrorMessage="1" sqref="F31:I31">
      <formula1>OFFSET(BegParamKM,MATCH(F36,Dy0KM,0)-1,0,VLOOKUP(F36,ParamKM2,5,FALSE))</formula1>
    </dataValidation>
    <dataValidation errorStyle="warning" type="list" allowBlank="1" showInputMessage="1" showErrorMessage="1" error="111" sqref="F30:I30">
      <formula1>TypePFlow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20" r:id="rId4"/>
  <colBreaks count="5" manualBreakCount="5">
    <brk id="1" max="65535" man="1"/>
    <brk id="7" max="65535" man="1"/>
    <brk id="8" max="65535" man="1"/>
    <brk id="11" max="65535" man="1"/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"ТЕРМОТРОНИК"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потерь на Питерфлоу РС</dc:title>
  <dc:subject/>
  <dc:creator>Vladimir Zhulkov</dc:creator>
  <cp:keywords/>
  <dc:description/>
  <cp:lastModifiedBy>Жульков В.А.</cp:lastModifiedBy>
  <cp:lastPrinted>2015-06-05T09:45:51Z</cp:lastPrinted>
  <dcterms:created xsi:type="dcterms:W3CDTF">2006-10-05T10:00:01Z</dcterms:created>
  <dcterms:modified xsi:type="dcterms:W3CDTF">2016-05-26T20:46:15Z</dcterms:modified>
  <cp:category/>
  <cp:version/>
  <cp:contentType/>
  <cp:contentStatus/>
</cp:coreProperties>
</file>